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1" i="1" l="1"/>
  <c r="G150" i="1"/>
  <c r="G81" i="1"/>
  <c r="I134" i="1" l="1"/>
  <c r="E205" i="1" l="1"/>
  <c r="F205" i="1"/>
  <c r="D273" i="1"/>
  <c r="D277" i="1" s="1"/>
  <c r="F164" i="1"/>
  <c r="F173" i="1"/>
  <c r="G115" i="1"/>
  <c r="F229" i="1"/>
  <c r="G229" i="1"/>
  <c r="G173" i="1"/>
  <c r="G174" i="1"/>
  <c r="E171" i="1"/>
  <c r="D171" i="1"/>
  <c r="F132" i="1"/>
  <c r="F66" i="1"/>
  <c r="H66" i="1"/>
  <c r="I66" i="1"/>
  <c r="J66" i="1"/>
  <c r="K66" i="1"/>
  <c r="F68" i="1"/>
  <c r="F113" i="1"/>
  <c r="E131" i="1"/>
  <c r="H222" i="1"/>
  <c r="I222" i="1" s="1"/>
  <c r="J222" i="1" s="1"/>
  <c r="K222" i="1" s="1"/>
  <c r="H221" i="1"/>
  <c r="I221" i="1" s="1"/>
  <c r="J221" i="1" s="1"/>
  <c r="K221" i="1" s="1"/>
  <c r="G238" i="1"/>
  <c r="H238" i="1" s="1"/>
  <c r="I238" i="1" s="1"/>
  <c r="J238" i="1" s="1"/>
  <c r="K238" i="1" s="1"/>
  <c r="G237" i="1"/>
  <c r="H237" i="1" s="1"/>
  <c r="I237" i="1" s="1"/>
  <c r="J237" i="1" s="1"/>
  <c r="K237" i="1" s="1"/>
  <c r="G236" i="1"/>
  <c r="H236" i="1" s="1"/>
  <c r="I236" i="1" s="1"/>
  <c r="J236" i="1" s="1"/>
  <c r="K236" i="1" s="1"/>
  <c r="H228" i="1"/>
  <c r="I228" i="1" s="1"/>
  <c r="J228" i="1" s="1"/>
  <c r="K228" i="1" s="1"/>
  <c r="I227" i="1"/>
  <c r="J227" i="1" s="1"/>
  <c r="K227" i="1" s="1"/>
  <c r="E229" i="1"/>
  <c r="D229" i="1"/>
  <c r="G261" i="1" l="1"/>
  <c r="F65" i="1"/>
  <c r="H70" i="1" l="1"/>
  <c r="K70" i="1" s="1"/>
  <c r="F78" i="1"/>
  <c r="H69" i="1"/>
  <c r="I69" i="1" s="1"/>
  <c r="I70" i="1" s="1"/>
  <c r="F69" i="1"/>
  <c r="H68" i="1"/>
  <c r="I68" i="1" s="1"/>
  <c r="H65" i="1"/>
  <c r="H99" i="1"/>
  <c r="H96" i="1"/>
  <c r="H79" i="1"/>
  <c r="I75" i="1"/>
  <c r="J75" i="1" s="1"/>
  <c r="K75" i="1" s="1"/>
  <c r="F138" i="1"/>
  <c r="I114" i="1" l="1"/>
  <c r="J114" i="1" s="1"/>
  <c r="K114" i="1" s="1"/>
  <c r="J288" i="1" l="1"/>
  <c r="H288" i="1"/>
  <c r="J287" i="1"/>
  <c r="H287" i="1"/>
  <c r="J286" i="1"/>
  <c r="H286" i="1"/>
  <c r="J285" i="1"/>
  <c r="H285" i="1"/>
  <c r="G285" i="1"/>
  <c r="F285" i="1"/>
  <c r="E285" i="1"/>
  <c r="D285" i="1"/>
  <c r="E279" i="1"/>
  <c r="E278" i="1"/>
  <c r="E273" i="1"/>
  <c r="G271" i="1"/>
  <c r="F271" i="1"/>
  <c r="F283" i="1" s="1"/>
  <c r="G270" i="1"/>
  <c r="G282" i="1" s="1"/>
  <c r="F270" i="1"/>
  <c r="F274" i="1" s="1"/>
  <c r="F278" i="1" s="1"/>
  <c r="G269" i="1"/>
  <c r="G281" i="1" s="1"/>
  <c r="F269" i="1"/>
  <c r="E269" i="1"/>
  <c r="F268" i="1"/>
  <c r="E268" i="1"/>
  <c r="E280" i="1" s="1"/>
  <c r="J267" i="1"/>
  <c r="H267" i="1"/>
  <c r="G266" i="1"/>
  <c r="E266" i="1"/>
  <c r="E265" i="1" s="1"/>
  <c r="J265" i="1"/>
  <c r="H265" i="1"/>
  <c r="K262" i="1"/>
  <c r="J262" i="1"/>
  <c r="I262" i="1"/>
  <c r="H262" i="1"/>
  <c r="G262" i="1"/>
  <c r="E262" i="1"/>
  <c r="D262" i="1"/>
  <c r="K261" i="1"/>
  <c r="J261" i="1"/>
  <c r="I261" i="1"/>
  <c r="H261" i="1"/>
  <c r="F261" i="1"/>
  <c r="E261" i="1"/>
  <c r="D261" i="1"/>
  <c r="K254" i="1"/>
  <c r="J254" i="1"/>
  <c r="I254" i="1"/>
  <c r="H254" i="1"/>
  <c r="G254" i="1"/>
  <c r="F254" i="1"/>
  <c r="E254" i="1"/>
  <c r="D254" i="1"/>
  <c r="K251" i="1"/>
  <c r="J251" i="1"/>
  <c r="I251" i="1"/>
  <c r="H251" i="1"/>
  <c r="G251" i="1"/>
  <c r="F251" i="1"/>
  <c r="E251" i="1"/>
  <c r="D251" i="1"/>
  <c r="K248" i="1"/>
  <c r="J248" i="1"/>
  <c r="I248" i="1"/>
  <c r="H248" i="1"/>
  <c r="G248" i="1"/>
  <c r="F248" i="1"/>
  <c r="E248" i="1"/>
  <c r="D248" i="1"/>
  <c r="K245" i="1"/>
  <c r="J245" i="1"/>
  <c r="I245" i="1"/>
  <c r="H245" i="1"/>
  <c r="G245" i="1"/>
  <c r="F245" i="1"/>
  <c r="E245" i="1"/>
  <c r="D245" i="1"/>
  <c r="K244" i="1"/>
  <c r="J244" i="1"/>
  <c r="I244" i="1"/>
  <c r="H244" i="1"/>
  <c r="G244" i="1"/>
  <c r="F244" i="1"/>
  <c r="E244" i="1"/>
  <c r="D244" i="1"/>
  <c r="K240" i="1"/>
  <c r="J240" i="1"/>
  <c r="I240" i="1"/>
  <c r="H240" i="1"/>
  <c r="G240" i="1"/>
  <c r="F240" i="1"/>
  <c r="E240" i="1"/>
  <c r="D240" i="1"/>
  <c r="F233" i="1"/>
  <c r="F262" i="1" s="1"/>
  <c r="K232" i="1"/>
  <c r="J232" i="1"/>
  <c r="I232" i="1"/>
  <c r="H232" i="1"/>
  <c r="G232" i="1"/>
  <c r="F232" i="1"/>
  <c r="F226" i="1" s="1"/>
  <c r="E232" i="1"/>
  <c r="E226" i="1" s="1"/>
  <c r="D232" i="1"/>
  <c r="D226" i="1" s="1"/>
  <c r="K229" i="1"/>
  <c r="K226" i="1" s="1"/>
  <c r="J229" i="1"/>
  <c r="J226" i="1" s="1"/>
  <c r="I229" i="1"/>
  <c r="I226" i="1" s="1"/>
  <c r="H229" i="1"/>
  <c r="G226" i="1"/>
  <c r="F225" i="1"/>
  <c r="F235" i="1"/>
  <c r="D235" i="1"/>
  <c r="K219" i="1"/>
  <c r="J219" i="1"/>
  <c r="I219" i="1"/>
  <c r="H219" i="1"/>
  <c r="G219" i="1"/>
  <c r="F219" i="1"/>
  <c r="E219" i="1"/>
  <c r="D219" i="1"/>
  <c r="K211" i="1"/>
  <c r="J211" i="1"/>
  <c r="I211" i="1"/>
  <c r="H211" i="1"/>
  <c r="G211" i="1"/>
  <c r="F211" i="1"/>
  <c r="E211" i="1"/>
  <c r="D211" i="1"/>
  <c r="F208" i="1"/>
  <c r="I207" i="1"/>
  <c r="J207" i="1" s="1"/>
  <c r="K207" i="1" s="1"/>
  <c r="E206" i="1"/>
  <c r="E176" i="1" s="1"/>
  <c r="F206" i="1"/>
  <c r="E178" i="1"/>
  <c r="G204" i="1"/>
  <c r="H203" i="1"/>
  <c r="H202" i="1" s="1"/>
  <c r="E203" i="1"/>
  <c r="E202" i="1"/>
  <c r="K200" i="1"/>
  <c r="J200" i="1"/>
  <c r="I200" i="1"/>
  <c r="H200" i="1"/>
  <c r="F200" i="1"/>
  <c r="G188" i="1" s="1"/>
  <c r="E200" i="1"/>
  <c r="D200" i="1"/>
  <c r="K183" i="1"/>
  <c r="J183" i="1"/>
  <c r="I183" i="1"/>
  <c r="H183" i="1"/>
  <c r="G183" i="1"/>
  <c r="F183" i="1"/>
  <c r="E183" i="1"/>
  <c r="D183" i="1"/>
  <c r="K180" i="1"/>
  <c r="J180" i="1"/>
  <c r="I180" i="1"/>
  <c r="H180" i="1"/>
  <c r="G180" i="1"/>
  <c r="F180" i="1"/>
  <c r="E180" i="1"/>
  <c r="D180" i="1"/>
  <c r="K179" i="1"/>
  <c r="J179" i="1"/>
  <c r="I179" i="1"/>
  <c r="H179" i="1"/>
  <c r="G179" i="1"/>
  <c r="F179" i="1"/>
  <c r="E179" i="1"/>
  <c r="D179" i="1"/>
  <c r="F176" i="1"/>
  <c r="J168" i="1"/>
  <c r="I168" i="1"/>
  <c r="D165" i="1"/>
  <c r="K156" i="1"/>
  <c r="J156" i="1"/>
  <c r="I156" i="1"/>
  <c r="H156" i="1"/>
  <c r="G156" i="1"/>
  <c r="F156" i="1"/>
  <c r="E156" i="1"/>
  <c r="D156" i="1"/>
  <c r="G138" i="1"/>
  <c r="K134" i="1"/>
  <c r="J134" i="1"/>
  <c r="H134" i="1"/>
  <c r="G134" i="1"/>
  <c r="F134" i="1"/>
  <c r="E134" i="1"/>
  <c r="D134" i="1"/>
  <c r="I132" i="1"/>
  <c r="J132" i="1" s="1"/>
  <c r="K132" i="1" s="1"/>
  <c r="H131" i="1"/>
  <c r="F131" i="1"/>
  <c r="D131" i="1"/>
  <c r="I125" i="1"/>
  <c r="J125" i="1" s="1"/>
  <c r="K125" i="1" s="1"/>
  <c r="K116" i="1" s="1"/>
  <c r="F125" i="1"/>
  <c r="G124" i="1"/>
  <c r="F124" i="1" s="1"/>
  <c r="G123" i="1"/>
  <c r="F123" i="1" s="1"/>
  <c r="G122" i="1"/>
  <c r="F122" i="1" s="1"/>
  <c r="G121" i="1"/>
  <c r="F121" i="1" s="1"/>
  <c r="G120" i="1"/>
  <c r="F120" i="1" s="1"/>
  <c r="G119" i="1"/>
  <c r="F119" i="1" s="1"/>
  <c r="G118" i="1"/>
  <c r="D118" i="1"/>
  <c r="D116" i="1" s="1"/>
  <c r="G117" i="1"/>
  <c r="F117" i="1" s="1"/>
  <c r="I116" i="1"/>
  <c r="H116" i="1"/>
  <c r="E116" i="1"/>
  <c r="H113" i="1"/>
  <c r="E113" i="1"/>
  <c r="D113" i="1"/>
  <c r="K111" i="1"/>
  <c r="J111" i="1"/>
  <c r="I111" i="1"/>
  <c r="H111" i="1"/>
  <c r="F111" i="1"/>
  <c r="E111" i="1"/>
  <c r="D111" i="1"/>
  <c r="H110" i="1"/>
  <c r="H108" i="1" s="1"/>
  <c r="F110" i="1"/>
  <c r="F108" i="1" s="1"/>
  <c r="D110" i="1"/>
  <c r="E108" i="1"/>
  <c r="D108" i="1"/>
  <c r="K100" i="1"/>
  <c r="J100" i="1"/>
  <c r="I100" i="1"/>
  <c r="H100" i="1"/>
  <c r="G100" i="1"/>
  <c r="F100" i="1"/>
  <c r="E100" i="1"/>
  <c r="D100" i="1"/>
  <c r="I99" i="1"/>
  <c r="J99" i="1" s="1"/>
  <c r="K99" i="1" s="1"/>
  <c r="G99" i="1" s="1"/>
  <c r="F99" i="1"/>
  <c r="D99" i="1"/>
  <c r="H98" i="1"/>
  <c r="D98" i="1"/>
  <c r="J97" i="1"/>
  <c r="D97" i="1"/>
  <c r="F96" i="1"/>
  <c r="D96" i="1"/>
  <c r="J95" i="1"/>
  <c r="D95" i="1"/>
  <c r="I94" i="1"/>
  <c r="J94" i="1" s="1"/>
  <c r="K94" i="1" s="1"/>
  <c r="G94" i="1" s="1"/>
  <c r="F94" i="1"/>
  <c r="D94" i="1"/>
  <c r="H93" i="1"/>
  <c r="J93" i="1" s="1"/>
  <c r="F93" i="1"/>
  <c r="H92" i="1"/>
  <c r="D92" i="1"/>
  <c r="J91" i="1"/>
  <c r="I90" i="1"/>
  <c r="I89" i="1"/>
  <c r="F89" i="1"/>
  <c r="D89" i="1"/>
  <c r="D78" i="1" s="1"/>
  <c r="D207" i="1" s="1"/>
  <c r="D88" i="1"/>
  <c r="H87" i="1"/>
  <c r="F87" i="1"/>
  <c r="D87" i="1"/>
  <c r="I86" i="1"/>
  <c r="J86" i="1" s="1"/>
  <c r="K86" i="1" s="1"/>
  <c r="D86" i="1"/>
  <c r="K85" i="1"/>
  <c r="J85" i="1"/>
  <c r="G84" i="1"/>
  <c r="G83" i="1"/>
  <c r="E81" i="1"/>
  <c r="I79" i="1"/>
  <c r="J79" i="1" s="1"/>
  <c r="K79" i="1" s="1"/>
  <c r="F79" i="1"/>
  <c r="I78" i="1"/>
  <c r="J78" i="1" s="1"/>
  <c r="K78" i="1" s="1"/>
  <c r="G78" i="1" s="1"/>
  <c r="G207" i="1" s="1"/>
  <c r="F77" i="1"/>
  <c r="G75" i="1"/>
  <c r="F75" i="1"/>
  <c r="D75" i="1"/>
  <c r="I74" i="1"/>
  <c r="J74" i="1" s="1"/>
  <c r="K74" i="1" s="1"/>
  <c r="F74" i="1"/>
  <c r="D74" i="1"/>
  <c r="I73" i="1"/>
  <c r="I203" i="1" s="1"/>
  <c r="I202" i="1" s="1"/>
  <c r="F73" i="1"/>
  <c r="F203" i="1" s="1"/>
  <c r="D73" i="1"/>
  <c r="D203" i="1" s="1"/>
  <c r="D202" i="1" s="1"/>
  <c r="E72" i="1"/>
  <c r="F70" i="1"/>
  <c r="K69" i="1"/>
  <c r="K68" i="1"/>
  <c r="D68" i="1"/>
  <c r="D62" i="1" s="1"/>
  <c r="K67" i="1"/>
  <c r="J67" i="1"/>
  <c r="I65" i="1"/>
  <c r="J65" i="1" s="1"/>
  <c r="H64" i="1"/>
  <c r="I64" i="1" s="1"/>
  <c r="J64" i="1" s="1"/>
  <c r="F64" i="1"/>
  <c r="H63" i="1"/>
  <c r="H62" i="1" s="1"/>
  <c r="F63" i="1"/>
  <c r="E62" i="1"/>
  <c r="F88" i="1" l="1"/>
  <c r="F76" i="1"/>
  <c r="H150" i="1"/>
  <c r="G67" i="1"/>
  <c r="G85" i="1"/>
  <c r="D81" i="1"/>
  <c r="D76" i="1"/>
  <c r="D272" i="1" s="1"/>
  <c r="D269" i="1" s="1"/>
  <c r="D281" i="1" s="1"/>
  <c r="D205" i="1"/>
  <c r="D178" i="1" s="1"/>
  <c r="G125" i="1"/>
  <c r="E277" i="1"/>
  <c r="F62" i="1"/>
  <c r="F150" i="1" s="1"/>
  <c r="I63" i="1"/>
  <c r="G66" i="1"/>
  <c r="F81" i="1"/>
  <c r="D58" i="1"/>
  <c r="D150" i="1"/>
  <c r="H88" i="1"/>
  <c r="H81" i="1" s="1"/>
  <c r="H76" i="1"/>
  <c r="E281" i="1"/>
  <c r="J271" i="1"/>
  <c r="G283" i="1"/>
  <c r="E150" i="1"/>
  <c r="E209" i="1"/>
  <c r="E208" i="1" s="1"/>
  <c r="F204" i="1"/>
  <c r="F202" i="1" s="1"/>
  <c r="J116" i="1"/>
  <c r="F272" i="1"/>
  <c r="F284" i="1" s="1"/>
  <c r="F281" i="1"/>
  <c r="F275" i="1"/>
  <c r="F279" i="1" s="1"/>
  <c r="F282" i="1"/>
  <c r="H226" i="1"/>
  <c r="H235" i="1" s="1"/>
  <c r="G235" i="1"/>
  <c r="G225" i="1"/>
  <c r="J235" i="1"/>
  <c r="J225" i="1"/>
  <c r="I235" i="1"/>
  <c r="I225" i="1"/>
  <c r="K235" i="1"/>
  <c r="K225" i="1"/>
  <c r="E235" i="1"/>
  <c r="E225" i="1"/>
  <c r="G200" i="1"/>
  <c r="K113" i="1"/>
  <c r="J113" i="1"/>
  <c r="K95" i="1"/>
  <c r="G86" i="1"/>
  <c r="I87" i="1"/>
  <c r="I88" i="1" s="1"/>
  <c r="I95" i="1"/>
  <c r="G111" i="1"/>
  <c r="I113" i="1"/>
  <c r="G114" i="1"/>
  <c r="G113" i="1" s="1"/>
  <c r="G132" i="1"/>
  <c r="E177" i="1"/>
  <c r="E175" i="1" s="1"/>
  <c r="D225" i="1"/>
  <c r="K64" i="1"/>
  <c r="G64" i="1" s="1"/>
  <c r="K65" i="1"/>
  <c r="G65" i="1" s="1"/>
  <c r="E80" i="1"/>
  <c r="E126" i="1" s="1"/>
  <c r="E139" i="1" s="1"/>
  <c r="J89" i="1"/>
  <c r="K89" i="1" s="1"/>
  <c r="J90" i="1"/>
  <c r="K91" i="1"/>
  <c r="G91" i="1" s="1"/>
  <c r="I92" i="1"/>
  <c r="J92" i="1" s="1"/>
  <c r="K92" i="1" s="1"/>
  <c r="I96" i="1"/>
  <c r="J96" i="1" s="1"/>
  <c r="K96" i="1" s="1"/>
  <c r="I110" i="1"/>
  <c r="J133" i="1"/>
  <c r="I131" i="1"/>
  <c r="K168" i="1"/>
  <c r="G168" i="1" s="1"/>
  <c r="H270" i="1"/>
  <c r="J270" i="1"/>
  <c r="E58" i="1"/>
  <c r="F72" i="1"/>
  <c r="F80" i="1" s="1"/>
  <c r="J73" i="1"/>
  <c r="G74" i="1"/>
  <c r="D77" i="1"/>
  <c r="D79" i="1" s="1"/>
  <c r="D72" i="1" s="1"/>
  <c r="G79" i="1"/>
  <c r="F207" i="1"/>
  <c r="K90" i="1"/>
  <c r="K93" i="1"/>
  <c r="I93" i="1"/>
  <c r="K97" i="1"/>
  <c r="G97" i="1" s="1"/>
  <c r="I98" i="1"/>
  <c r="J98" i="1" s="1"/>
  <c r="K98" i="1" s="1"/>
  <c r="F118" i="1"/>
  <c r="F116" i="1" s="1"/>
  <c r="G116" i="1"/>
  <c r="G268" i="1"/>
  <c r="H266" i="1"/>
  <c r="J266" i="1"/>
  <c r="G272" i="1"/>
  <c r="G274" i="1"/>
  <c r="F276" i="1"/>
  <c r="F280" i="1" s="1"/>
  <c r="J87" i="1"/>
  <c r="H269" i="1"/>
  <c r="G275" i="1"/>
  <c r="H271" i="1"/>
  <c r="J269" i="1"/>
  <c r="H205" i="1" l="1"/>
  <c r="H172" i="1"/>
  <c r="F172" i="1"/>
  <c r="F171" i="1" s="1"/>
  <c r="F178" i="1"/>
  <c r="H77" i="1"/>
  <c r="F177" i="1"/>
  <c r="F175" i="1" s="1"/>
  <c r="D206" i="1"/>
  <c r="D177" i="1"/>
  <c r="G95" i="1"/>
  <c r="F126" i="1"/>
  <c r="F139" i="1" s="1"/>
  <c r="F140" i="1" s="1"/>
  <c r="H72" i="1"/>
  <c r="J63" i="1"/>
  <c r="I62" i="1"/>
  <c r="I76" i="1"/>
  <c r="H59" i="1"/>
  <c r="H164" i="1" s="1"/>
  <c r="E140" i="1"/>
  <c r="E151" i="1" s="1"/>
  <c r="E259" i="1" s="1"/>
  <c r="H225" i="1"/>
  <c r="F165" i="1"/>
  <c r="D176" i="1"/>
  <c r="G93" i="1"/>
  <c r="G90" i="1"/>
  <c r="F209" i="1"/>
  <c r="D151" i="1"/>
  <c r="D80" i="1"/>
  <c r="D126" i="1" s="1"/>
  <c r="D139" i="1" s="1"/>
  <c r="D147" i="1" s="1"/>
  <c r="G279" i="1"/>
  <c r="J275" i="1"/>
  <c r="H275" i="1"/>
  <c r="H274" i="1"/>
  <c r="J274" i="1"/>
  <c r="G278" i="1"/>
  <c r="G284" i="1"/>
  <c r="G276" i="1"/>
  <c r="J272" i="1"/>
  <c r="H272" i="1"/>
  <c r="J282" i="1"/>
  <c r="H282" i="1"/>
  <c r="J110" i="1"/>
  <c r="I108" i="1"/>
  <c r="H209" i="1"/>
  <c r="J283" i="1"/>
  <c r="H283" i="1"/>
  <c r="J88" i="1"/>
  <c r="K87" i="1"/>
  <c r="G87" i="1" s="1"/>
  <c r="F273" i="1"/>
  <c r="F277" i="1" s="1"/>
  <c r="J268" i="1"/>
  <c r="H268" i="1"/>
  <c r="G98" i="1"/>
  <c r="J203" i="1"/>
  <c r="J202" i="1" s="1"/>
  <c r="K73" i="1"/>
  <c r="J69" i="1"/>
  <c r="J70" i="1" s="1"/>
  <c r="J68" i="1"/>
  <c r="K133" i="1"/>
  <c r="J131" i="1"/>
  <c r="G96" i="1"/>
  <c r="G92" i="1"/>
  <c r="G89" i="1"/>
  <c r="I81" i="1"/>
  <c r="I172" i="1" l="1"/>
  <c r="I171" i="1" s="1"/>
  <c r="I205" i="1"/>
  <c r="H171" i="1"/>
  <c r="I150" i="1"/>
  <c r="H80" i="1"/>
  <c r="H126" i="1" s="1"/>
  <c r="H139" i="1" s="1"/>
  <c r="D175" i="1"/>
  <c r="D209" i="1"/>
  <c r="F147" i="1"/>
  <c r="F151" i="1"/>
  <c r="I77" i="1"/>
  <c r="I72" i="1" s="1"/>
  <c r="I209" i="1" s="1"/>
  <c r="J76" i="1"/>
  <c r="J62" i="1"/>
  <c r="J150" i="1" s="1"/>
  <c r="K63" i="1"/>
  <c r="K62" i="1" s="1"/>
  <c r="H206" i="1"/>
  <c r="H176" i="1" s="1"/>
  <c r="H178" i="1"/>
  <c r="H177" i="1"/>
  <c r="E147" i="1"/>
  <c r="H140" i="1"/>
  <c r="H151" i="1" s="1"/>
  <c r="F58" i="1"/>
  <c r="F163" i="1"/>
  <c r="F186" i="1" s="1"/>
  <c r="H163" i="1"/>
  <c r="H58" i="1"/>
  <c r="G68" i="1"/>
  <c r="K203" i="1"/>
  <c r="K202" i="1" s="1"/>
  <c r="G73" i="1"/>
  <c r="K110" i="1"/>
  <c r="K108" i="1" s="1"/>
  <c r="J108" i="1"/>
  <c r="G280" i="1"/>
  <c r="J276" i="1"/>
  <c r="H276" i="1"/>
  <c r="H278" i="1"/>
  <c r="J278" i="1"/>
  <c r="G273" i="1"/>
  <c r="G277" i="1" s="1"/>
  <c r="J279" i="1"/>
  <c r="H279" i="1"/>
  <c r="D149" i="1"/>
  <c r="D260" i="1" s="1"/>
  <c r="D148" i="1"/>
  <c r="D164" i="1" s="1"/>
  <c r="D163" i="1" s="1"/>
  <c r="D161" i="1"/>
  <c r="G110" i="1"/>
  <c r="G108" i="1" s="1"/>
  <c r="G133" i="1"/>
  <c r="G131" i="1" s="1"/>
  <c r="K131" i="1"/>
  <c r="G69" i="1"/>
  <c r="J81" i="1"/>
  <c r="K88" i="1"/>
  <c r="G88" i="1" s="1"/>
  <c r="H281" i="1"/>
  <c r="J281" i="1"/>
  <c r="J284" i="1"/>
  <c r="H284" i="1"/>
  <c r="D259" i="1"/>
  <c r="H147" i="1" l="1"/>
  <c r="D186" i="1"/>
  <c r="K150" i="1"/>
  <c r="J205" i="1"/>
  <c r="J172" i="1"/>
  <c r="E154" i="1"/>
  <c r="E153" i="1" s="1"/>
  <c r="E161" i="1" s="1"/>
  <c r="E149" i="1"/>
  <c r="E260" i="1" s="1"/>
  <c r="I206" i="1"/>
  <c r="I176" i="1" s="1"/>
  <c r="I177" i="1"/>
  <c r="I178" i="1"/>
  <c r="J77" i="1"/>
  <c r="J72" i="1" s="1"/>
  <c r="J209" i="1" s="1"/>
  <c r="K76" i="1"/>
  <c r="E148" i="1"/>
  <c r="E164" i="1" s="1"/>
  <c r="E163" i="1" s="1"/>
  <c r="E186" i="1" s="1"/>
  <c r="G63" i="1"/>
  <c r="H175" i="1"/>
  <c r="H186" i="1" s="1"/>
  <c r="H259" i="1"/>
  <c r="F259" i="1"/>
  <c r="G70" i="1"/>
  <c r="G62" i="1" s="1"/>
  <c r="I80" i="1"/>
  <c r="I126" i="1" s="1"/>
  <c r="I139" i="1" s="1"/>
  <c r="J273" i="1"/>
  <c r="H273" i="1"/>
  <c r="K81" i="1"/>
  <c r="H277" i="1"/>
  <c r="J277" i="1"/>
  <c r="J280" i="1"/>
  <c r="H280" i="1"/>
  <c r="G203" i="1"/>
  <c r="G202" i="1" s="1"/>
  <c r="K172" i="1" l="1"/>
  <c r="K171" i="1" s="1"/>
  <c r="K205" i="1"/>
  <c r="G205" i="1" s="1"/>
  <c r="G206" i="1" s="1"/>
  <c r="J171" i="1"/>
  <c r="G172" i="1"/>
  <c r="G171" i="1" s="1"/>
  <c r="I175" i="1"/>
  <c r="J80" i="1"/>
  <c r="J126" i="1" s="1"/>
  <c r="J139" i="1" s="1"/>
  <c r="J140" i="1" s="1"/>
  <c r="J151" i="1" s="1"/>
  <c r="K77" i="1"/>
  <c r="K72" i="1" s="1"/>
  <c r="K80" i="1" s="1"/>
  <c r="K126" i="1" s="1"/>
  <c r="K139" i="1" s="1"/>
  <c r="G76" i="1"/>
  <c r="J206" i="1"/>
  <c r="J176" i="1" s="1"/>
  <c r="J178" i="1"/>
  <c r="J177" i="1"/>
  <c r="I208" i="1"/>
  <c r="I59" i="1" s="1"/>
  <c r="I140" i="1"/>
  <c r="I151" i="1" s="1"/>
  <c r="H148" i="1"/>
  <c r="H149" i="1"/>
  <c r="H260" i="1" s="1"/>
  <c r="H154" i="1"/>
  <c r="H153" i="1" s="1"/>
  <c r="H161" i="1" s="1"/>
  <c r="F148" i="1"/>
  <c r="F149" i="1"/>
  <c r="F260" i="1" s="1"/>
  <c r="F154" i="1"/>
  <c r="F153" i="1" s="1"/>
  <c r="F161" i="1" s="1"/>
  <c r="I164" i="1" l="1"/>
  <c r="I58" i="1"/>
  <c r="K178" i="1"/>
  <c r="G178" i="1" s="1"/>
  <c r="K206" i="1"/>
  <c r="K176" i="1" s="1"/>
  <c r="K177" i="1"/>
  <c r="G177" i="1" s="1"/>
  <c r="K209" i="1"/>
  <c r="K208" i="1" s="1"/>
  <c r="K59" i="1" s="1"/>
  <c r="J175" i="1"/>
  <c r="G77" i="1"/>
  <c r="G72" i="1" s="1"/>
  <c r="J208" i="1"/>
  <c r="J59" i="1" s="1"/>
  <c r="J164" i="1" s="1"/>
  <c r="J147" i="1"/>
  <c r="I259" i="1"/>
  <c r="K140" i="1"/>
  <c r="K151" i="1" s="1"/>
  <c r="J259" i="1"/>
  <c r="I147" i="1"/>
  <c r="K259" i="1"/>
  <c r="K147" i="1" l="1"/>
  <c r="K58" i="1"/>
  <c r="K164" i="1"/>
  <c r="K163" i="1" s="1"/>
  <c r="I163" i="1"/>
  <c r="I186" i="1" s="1"/>
  <c r="G80" i="1"/>
  <c r="G209" i="1"/>
  <c r="J58" i="1"/>
  <c r="G58" i="1" s="1"/>
  <c r="J163" i="1"/>
  <c r="J186" i="1" s="1"/>
  <c r="G208" i="1"/>
  <c r="G59" i="1"/>
  <c r="K175" i="1"/>
  <c r="G175" i="1" s="1"/>
  <c r="G176" i="1"/>
  <c r="K148" i="1"/>
  <c r="J149" i="1"/>
  <c r="J260" i="1" s="1"/>
  <c r="J148" i="1"/>
  <c r="J154" i="1"/>
  <c r="J153" i="1" s="1"/>
  <c r="J161" i="1" s="1"/>
  <c r="I149" i="1"/>
  <c r="I260" i="1" s="1"/>
  <c r="I154" i="1"/>
  <c r="I153" i="1" s="1"/>
  <c r="I161" i="1" s="1"/>
  <c r="I148" i="1"/>
  <c r="G164" i="1" l="1"/>
  <c r="G163" i="1" s="1"/>
  <c r="G186" i="1" s="1"/>
  <c r="G126" i="1"/>
  <c r="G139" i="1" s="1"/>
  <c r="K186" i="1"/>
  <c r="K154" i="1"/>
  <c r="K153" i="1" s="1"/>
  <c r="K161" i="1" s="1"/>
  <c r="K149" i="1"/>
  <c r="K260" i="1" s="1"/>
  <c r="G140" i="1" l="1"/>
  <c r="G259" i="1" l="1"/>
  <c r="G147" i="1"/>
  <c r="G149" i="1" l="1"/>
  <c r="G260" i="1" s="1"/>
  <c r="G154" i="1"/>
  <c r="G153" i="1" s="1"/>
  <c r="G161" i="1" s="1"/>
  <c r="G148" i="1"/>
</calcChain>
</file>

<file path=xl/sharedStrings.xml><?xml version="1.0" encoding="utf-8"?>
<sst xmlns="http://schemas.openxmlformats.org/spreadsheetml/2006/main" count="503" uniqueCount="462">
  <si>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</si>
  <si>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</si>
  <si>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</si>
  <si>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</si>
  <si>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</si>
  <si>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Рішенням Виконавчого комітету Бучанської міської ради</t>
  </si>
  <si>
    <t>"____" ___________  2024 р. №____________________</t>
  </si>
  <si>
    <t>Підприємство</t>
  </si>
  <si>
    <t>за ЄДРПОУ</t>
  </si>
  <si>
    <t>Територія</t>
  </si>
  <si>
    <t>Бучанська ОТГ</t>
  </si>
  <si>
    <t>за КОАТУУ</t>
  </si>
  <si>
    <t>Організаційно-правова форма господарювання</t>
  </si>
  <si>
    <t>комунальне підприємство</t>
  </si>
  <si>
    <t>за КОПФГ</t>
  </si>
  <si>
    <t>Вид економічної діяльності</t>
  </si>
  <si>
    <t>Надання в оренду й експлуатацію власного чи орендованого нерухомого майна</t>
  </si>
  <si>
    <t>за КВЕД</t>
  </si>
  <si>
    <t>68.2</t>
  </si>
  <si>
    <t>Електромонтажні роботи</t>
  </si>
  <si>
    <t>43.21</t>
  </si>
  <si>
    <t>Монтаж водопровідних мереж, систем опалення та кондиціонування</t>
  </si>
  <si>
    <t>43.22</t>
  </si>
  <si>
    <t>Інші будівельно-монтажні роботи</t>
  </si>
  <si>
    <t>43.29</t>
  </si>
  <si>
    <t>Штукатурні роботи</t>
  </si>
  <si>
    <t>43.31</t>
  </si>
  <si>
    <t>Малярні роботи та скління</t>
  </si>
  <si>
    <t>43.34</t>
  </si>
  <si>
    <t>Комплексне обслуговування об'єктів</t>
  </si>
  <si>
    <t>81.1</t>
  </si>
  <si>
    <t>Загальне прибирання будинків</t>
  </si>
  <si>
    <t>81.21</t>
  </si>
  <si>
    <t>Інша діяльність із прибирання будинків і промислових об'єктів</t>
  </si>
  <si>
    <t>81.22</t>
  </si>
  <si>
    <t>Інші види діяльності із прибирання</t>
  </si>
  <si>
    <t>81.29</t>
  </si>
  <si>
    <t>Організування поховань і надання суміжних послуг</t>
  </si>
  <si>
    <t>96.03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</si>
  <si>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</si>
  <si>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47.76</t>
  </si>
  <si>
    <t>Роздрібна торгівля іншими невживаними товарами в спеціалізованих магазинах</t>
  </si>
  <si>
    <t>47.78</t>
  </si>
  <si>
    <t>Вантажний автомобільний транспорт</t>
  </si>
  <si>
    <t>49.41</t>
  </si>
  <si>
    <t>Надання послуг перевезення речей (переїзду)</t>
  </si>
  <si>
    <t>49.42</t>
  </si>
  <si>
    <t>Управління нерухомим майном за винагороду або на основі контракту</t>
  </si>
  <si>
    <t>68.32</t>
  </si>
  <si>
    <t>Збирання безпечних відходів</t>
  </si>
  <si>
    <t>38.11</t>
  </si>
  <si>
    <t>Будівництво житлових і нежитлових будівель</t>
  </si>
  <si>
    <t>42.2</t>
  </si>
  <si>
    <t>Будівництво доріг і автострад</t>
  </si>
  <si>
    <t>42.11</t>
  </si>
  <si>
    <t>Забір, очищення та постачання води</t>
  </si>
  <si>
    <t>36.0</t>
  </si>
  <si>
    <t>Каналізація, відведення й очищення стічних вод</t>
  </si>
  <si>
    <t>37.0</t>
  </si>
  <si>
    <t>Будівництво трубопроводів</t>
  </si>
  <si>
    <t>42.21</t>
  </si>
  <si>
    <t>Технічне обслуговування та ремонт автотранспортних засобів</t>
  </si>
  <si>
    <t>45.2</t>
  </si>
  <si>
    <t>Роздрібна торгівля пальним</t>
  </si>
  <si>
    <t>47.3</t>
  </si>
  <si>
    <t>Допоміжне обслуговування наземного транспорту</t>
  </si>
  <si>
    <t>52.21</t>
  </si>
  <si>
    <t>Ремонт і технічне обслуговування електричного устатковання</t>
  </si>
  <si>
    <t>33.14</t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</si>
  <si>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</si>
  <si>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</si>
  <si>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Технічні випробування та дослідження</t>
  </si>
  <si>
    <t>71.2</t>
  </si>
  <si>
    <t>Ремонт і технічне обслуговування машин і устаткування  промислового призначення</t>
  </si>
  <si>
    <t>33.12</t>
  </si>
  <si>
    <t>Оброблення та видалення безпечних відходів</t>
  </si>
  <si>
    <t>38.21</t>
  </si>
  <si>
    <t>Орган державного управління</t>
  </si>
  <si>
    <t>Середня кількість працівників</t>
  </si>
  <si>
    <t>Прізвище та ініціали керівника</t>
  </si>
  <si>
    <t>С. В. Мостіпака</t>
  </si>
  <si>
    <t>Адреса, телефон</t>
  </si>
  <si>
    <t>м. Буча, бульв. Леоніда Бірюкова, 9, прим., 2.  (068)167-86-95</t>
  </si>
  <si>
    <t>ФІНАНСОВИЙ ПЛАН  ПІДПРИЄМСТВА</t>
  </si>
  <si>
    <t xml:space="preserve"> на 2025 рік</t>
  </si>
  <si>
    <t>Основні фінансові показники підприємства</t>
  </si>
  <si>
    <t>Код рядка</t>
  </si>
  <si>
    <t>У тому числі по кварталах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</si>
  <si>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</si>
  <si>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</si>
  <si>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</si>
  <si>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</si>
  <si>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r>
      <t>Інші вирахування з доходу (</t>
    </r>
    <r>
      <rPr>
        <i/>
        <sz val="12"/>
        <rFont val="Times New Roman"/>
        <family val="1"/>
        <charset val="204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</si>
  <si>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12"/>
        <rFont val="Times New Roman"/>
        <family val="1"/>
        <charset val="204"/>
      </rPr>
      <t>(розшифрування за найменуваннями видів діяльості за КВЕД)</t>
    </r>
  </si>
  <si>
    <t>Управління багатоквартирними будинками (утримання житлових та нежитлових приміщень)</t>
  </si>
  <si>
    <t>5/1</t>
  </si>
  <si>
    <t>Орендна плата (70%)</t>
  </si>
  <si>
    <t>5/2</t>
  </si>
  <si>
    <t xml:space="preserve">Вивіз ТПВ </t>
  </si>
  <si>
    <t>5/3</t>
  </si>
  <si>
    <t>Окремі види ритуальних послуг</t>
  </si>
  <si>
    <t>5/4</t>
  </si>
  <si>
    <t>Відшкодування НКРЕКП</t>
  </si>
  <si>
    <t>5/5</t>
  </si>
  <si>
    <t>Транспортні послуги (та інші додаткові послуги)</t>
  </si>
  <si>
    <t>5/6</t>
  </si>
  <si>
    <t>Централізоване водопостачання</t>
  </si>
  <si>
    <t>5/7</t>
  </si>
  <si>
    <t>Централізоване водовідведення</t>
  </si>
  <si>
    <t>5/8</t>
  </si>
  <si>
    <t xml:space="preserve">Дохід майбутнього періоду </t>
  </si>
  <si>
    <t>5/9</t>
  </si>
  <si>
    <t>Собівартість реалізованої продукції (товарів, робіт та послуг), у тому числі:</t>
  </si>
  <si>
    <t>витрати на сировину та основні матеріали</t>
  </si>
  <si>
    <t>6/1</t>
  </si>
  <si>
    <t>витрати на паливо</t>
  </si>
  <si>
    <t>6/2</t>
  </si>
  <si>
    <t>витрати на електроенергію</t>
  </si>
  <si>
    <t>6/3</t>
  </si>
  <si>
    <t>витрати на оплату праці</t>
  </si>
  <si>
    <t>6/4</t>
  </si>
  <si>
    <t>відрахування на соціальні заходи</t>
  </si>
  <si>
    <t>6/5</t>
  </si>
  <si>
    <t>амортизація основних засобів і нематеріальних активів</t>
  </si>
  <si>
    <t>6/6</t>
  </si>
  <si>
    <t>витрати за послуги субпідрядних організацій</t>
  </si>
  <si>
    <t>6/7</t>
  </si>
  <si>
    <t>Валовий прибуток (збиток)</t>
  </si>
  <si>
    <t>Адміністративні витрати</t>
  </si>
  <si>
    <t>у тому числі:</t>
  </si>
  <si>
    <t>витрати, пов'язані з використанням власних службових автомобілів</t>
  </si>
  <si>
    <t>8/1</t>
  </si>
  <si>
    <t>витрати на оренду службових автомобілів</t>
  </si>
  <si>
    <t>8/2</t>
  </si>
  <si>
    <t>витрати на аудиторські послуги</t>
  </si>
  <si>
    <t>8/3</t>
  </si>
  <si>
    <t>витрати на зв’язок</t>
  </si>
  <si>
    <t>8/4</t>
  </si>
  <si>
    <t>8/5</t>
  </si>
  <si>
    <t>8/6</t>
  </si>
  <si>
    <t>амортизація основних засобів і нематеріальних активів загальногосподарського призначення</t>
  </si>
  <si>
    <t>8/7</t>
  </si>
  <si>
    <t>юридичні послуги</t>
  </si>
  <si>
    <t>8/8</t>
  </si>
  <si>
    <t>послуги з оцінки майна</t>
  </si>
  <si>
    <t>8/9</t>
  </si>
  <si>
    <t xml:space="preserve">витрати на підвищення кваліфікації та перепідготовку кадрів </t>
  </si>
  <si>
    <t>8/10</t>
  </si>
  <si>
    <t>витрати на утримання основних фондів, інших необоротних активів загальногосподарського використання, (супровід компютерних программ)</t>
  </si>
  <si>
    <t>8/11</t>
  </si>
  <si>
    <t>8/12</t>
  </si>
  <si>
    <t>8/13</t>
  </si>
  <si>
    <t>комунальні витрати</t>
  </si>
  <si>
    <t>8/14</t>
  </si>
  <si>
    <t>судові витрати</t>
  </si>
  <si>
    <t>8/15</t>
  </si>
  <si>
    <t>періодичні видання</t>
  </si>
  <si>
    <t>8/16</t>
  </si>
  <si>
    <t>канцтовари/ комп. Техніка</t>
  </si>
  <si>
    <t>8/17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</si>
  <si>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</si>
  <si>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</si>
  <si>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</si>
  <si>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</si>
  <si>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</si>
  <si>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</si>
  <si>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</si>
  <si>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</si>
  <si>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</si>
  <si>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</si>
  <si>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</si>
  <si>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</si>
  <si>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</si>
  <si>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</si>
  <si>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</si>
  <si>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кошти загального фонду ( бюджетні кошти)</t>
  </si>
  <si>
    <t>10/3</t>
  </si>
  <si>
    <r>
      <t xml:space="preserve">нетипові операційні доходи </t>
    </r>
    <r>
      <rPr>
        <sz val="8"/>
        <rFont val="Times New Roman"/>
        <family val="1"/>
        <charset val="204"/>
      </rPr>
      <t xml:space="preserve">(амортизація пайової участі в частині доходу, в розрізі амортизації, для уникненя впливу на чистий фінансовий результат комунального підприємства) </t>
    </r>
  </si>
  <si>
    <t>10/4</t>
  </si>
  <si>
    <t>Дохід з місцевого бюджету за програмою підтримки, у тому числі:</t>
  </si>
  <si>
    <t>11</t>
  </si>
  <si>
    <t xml:space="preserve">назва </t>
  </si>
  <si>
    <t>11/1</t>
  </si>
  <si>
    <t>Дохід з місцевого бюджету за цільовими програмами, у т.ч.:</t>
  </si>
  <si>
    <t>12</t>
  </si>
  <si>
    <t xml:space="preserve">"Програма благоустрою території населених пунктів Бучанської міської територіальної громади на 2024-2025рр." </t>
  </si>
  <si>
    <t>кошти загального фонду ( кошти на капітальний та поточний ремонт)</t>
  </si>
  <si>
    <t>12/4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</si>
  <si>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</si>
  <si>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</si>
  <si>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</si>
  <si>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 (Створення резерву сумнівних боргів)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</si>
  <si>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</si>
  <si>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</si>
  <si>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</si>
  <si>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</si>
  <si>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</si>
  <si>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</si>
  <si>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</si>
  <si>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</si>
  <si>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</si>
  <si>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</si>
  <si>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</si>
  <si>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</si>
  <si>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</si>
  <si>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інші операційні витрати (амортизація доріг, тротуарів, велодоріжок тощо)</t>
  </si>
  <si>
    <t>13/12</t>
  </si>
  <si>
    <t>Фінансовий результат від операційної діяльності</t>
  </si>
  <si>
    <t>14</t>
  </si>
  <si>
    <r>
      <t xml:space="preserve">Дохід від участі в капіталі </t>
    </r>
    <r>
      <rPr>
        <b/>
        <i/>
        <sz val="12"/>
        <rFont val="Times New Roman"/>
        <family val="1"/>
        <charset val="204"/>
      </rPr>
      <t>(розшифрування)</t>
    </r>
  </si>
  <si>
    <t>15</t>
  </si>
  <si>
    <r>
      <t>Втрати від участі в капіталі (</t>
    </r>
    <r>
      <rPr>
        <b/>
        <i/>
        <sz val="12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</si>
  <si>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12"/>
        <rFont val="Times New Roman"/>
        <family val="1"/>
        <charset val="204"/>
      </rPr>
      <t>(розшифрування)</t>
    </r>
  </si>
  <si>
    <t>17</t>
  </si>
  <si>
    <r>
      <t xml:space="preserve">Фінансові витрати </t>
    </r>
    <r>
      <rPr>
        <b/>
        <i/>
        <sz val="12"/>
        <rFont val="Times New Roman"/>
        <family val="1"/>
        <charset val="204"/>
      </rPr>
      <t>(розшифрування)</t>
    </r>
  </si>
  <si>
    <t>18</t>
  </si>
  <si>
    <t>Інші доходи, у тому числі:</t>
  </si>
  <si>
    <t>19</t>
  </si>
  <si>
    <t>Кошти на капітальний ремонт, в розрізі амортизації, для уникненя впливу на чистий фінансовий результат комунального підприємства</t>
  </si>
  <si>
    <t>19/1</t>
  </si>
  <si>
    <t>Дохід з місцевого бюджету за цільовими програмами</t>
  </si>
  <si>
    <t>19/2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</si>
  <si>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</si>
  <si>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</si>
  <si>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</si>
  <si>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</si>
  <si>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</si>
  <si>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</si>
  <si>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</si>
  <si>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</si>
  <si>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інші витрати (розшифрувати)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</si>
  <si>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</si>
  <si>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</si>
  <si>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</si>
  <si>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</si>
  <si>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</si>
  <si>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</si>
  <si>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</si>
  <si>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</si>
  <si>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</si>
  <si>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</si>
  <si>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</si>
  <si>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</si>
  <si>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</si>
  <si>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</si>
  <si>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</si>
  <si>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</si>
  <si>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</si>
  <si>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</si>
  <si>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</si>
  <si>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</si>
  <si>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</si>
  <si>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</si>
  <si>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</si>
  <si>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</si>
  <si>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</si>
  <si>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ІI. Розподіл чистого прибутку</t>
  </si>
  <si>
    <t xml:space="preserve">Відрахування частини прибутку: </t>
  </si>
  <si>
    <t>яка підлягає зарахуванню до загального фонду міського бюджету</t>
  </si>
  <si>
    <t>30/1</t>
  </si>
  <si>
    <t xml:space="preserve">Залишок нерозподіленого прибутку (непокритого збитку) на початок звітного періоду  </t>
  </si>
  <si>
    <t>Розподіл чистого прибутку, у тому числі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</si>
  <si>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</si>
  <si>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</si>
  <si>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</si>
  <si>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</si>
  <si>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</si>
  <si>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</si>
  <si>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інші цілі (розшифрувати)</t>
  </si>
  <si>
    <t>32/4</t>
  </si>
  <si>
    <t xml:space="preserve">Залишок нерозподіленого прибутку (непокритого збитку) на кінець звітного періоду 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</si>
  <si>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</si>
  <si>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</si>
  <si>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</si>
  <si>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</si>
  <si>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</si>
  <si>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</si>
  <si>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</si>
  <si>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</si>
  <si>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</si>
  <si>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</si>
  <si>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</si>
  <si>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</si>
  <si>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</si>
  <si>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</si>
  <si>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t>земельний податок</t>
  </si>
  <si>
    <r>
      <t>Сплата податків та зборів до місцевих бюджетів (податкові платежі), у тому числі: (</t>
    </r>
    <r>
      <rPr>
        <b/>
        <i/>
        <sz val="12"/>
        <rFont val="Times New Roman"/>
        <family val="1"/>
        <charset val="204"/>
      </rPr>
      <t>розшифрувати</t>
    </r>
    <r>
      <rPr>
        <b/>
        <sz val="12"/>
        <rFont val="Times New Roman"/>
        <family val="1"/>
        <charset val="204"/>
      </rPr>
      <t>)</t>
    </r>
  </si>
  <si>
    <t>35/1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</si>
  <si>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</si>
  <si>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</si>
  <si>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</si>
  <si>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</si>
  <si>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</si>
  <si>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>36/3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</si>
  <si>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</si>
  <si>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</si>
  <si>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</si>
  <si>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</si>
  <si>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</si>
  <si>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</si>
  <si>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</si>
  <si>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</si>
  <si>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</si>
  <si>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</si>
  <si>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</si>
  <si>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</si>
  <si>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</si>
  <si>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</si>
  <si>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</si>
  <si>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</si>
  <si>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</si>
  <si>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</si>
  <si>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</si>
  <si>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</si>
  <si>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Чистий рух коштів за звітний період  (без цільового фінансування), у тому числі: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</si>
  <si>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</si>
  <si>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</si>
  <si>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</si>
  <si>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</si>
  <si>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</si>
  <si>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</si>
  <si>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</si>
  <si>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</si>
  <si>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</si>
  <si>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</si>
  <si>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</si>
  <si>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</si>
  <si>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</si>
  <si>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</si>
  <si>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</si>
  <si>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</si>
  <si>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</si>
  <si>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</si>
  <si>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</si>
  <si>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</si>
  <si>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</si>
  <si>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</si>
  <si>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</si>
  <si>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</si>
  <si>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</si>
  <si>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</si>
  <si>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</si>
  <si>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</si>
  <si>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</si>
  <si>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</si>
  <si>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</si>
  <si>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</si>
  <si>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</si>
  <si>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</si>
  <si>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</si>
  <si>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</si>
  <si>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</si>
  <si>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</si>
  <si>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</si>
  <si>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</si>
  <si>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</si>
  <si>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</si>
  <si>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</si>
  <si>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</si>
  <si>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</si>
  <si>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</si>
  <si>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</si>
  <si>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</si>
  <si>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</si>
  <si>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</si>
  <si>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</si>
  <si>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</si>
  <si>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</si>
  <si>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</si>
  <si>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</si>
  <si>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</si>
  <si>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</si>
  <si>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</si>
  <si>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</si>
  <si>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</si>
  <si>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</si>
  <si>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</si>
  <si>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</si>
  <si>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</si>
  <si>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</si>
  <si>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Поточні зобовязання і забезпечення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</si>
  <si>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</si>
  <si>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</si>
  <si>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</si>
  <si>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</si>
  <si>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</si>
  <si>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</si>
  <si>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</si>
  <si>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</si>
  <si>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</si>
  <si>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</si>
  <si>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</si>
  <si>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</si>
  <si>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</si>
  <si>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</si>
  <si>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</si>
  <si>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</si>
  <si>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</si>
  <si>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</si>
  <si>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</si>
  <si>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</si>
  <si>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</si>
  <si>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</si>
  <si>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</si>
  <si>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</si>
  <si>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</si>
  <si>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</si>
  <si>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</si>
  <si>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</si>
  <si>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</si>
  <si>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</si>
  <si>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</si>
  <si>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</si>
  <si>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t>Найменування показника</t>
  </si>
  <si>
    <t>Факт минулого року</t>
  </si>
  <si>
    <t>Плановий рік (план поточного року)</t>
  </si>
  <si>
    <t>Прогнозні показники поточного року</t>
  </si>
  <si>
    <t>Плановий рік</t>
  </si>
  <si>
    <t>Плановий рік до прогнозу на поточний рік, %</t>
  </si>
  <si>
    <t>Плановий рік до факту минулого року, %</t>
  </si>
  <si>
    <t>Середня кількість працівників (штатних працівників, зовнішніх сумісників та працівників, що працюють за цивільно-правовими договорами), у тому числі:</t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</si>
  <si>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</si>
  <si>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</si>
  <si>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</si>
  <si>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</si>
  <si>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</si>
  <si>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</si>
  <si>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Фонд оплати праці,  у тому числі: (без ЕСВ)</t>
  </si>
  <si>
    <t>70/1</t>
  </si>
  <si>
    <t>70/2</t>
  </si>
  <si>
    <t>70/3</t>
  </si>
  <si>
    <t>Витрати на оплату праці (тис. грн.),  у тому числі: (включно ЕСВ)</t>
  </si>
  <si>
    <t>71/1</t>
  </si>
  <si>
    <t>71/2</t>
  </si>
  <si>
    <t>71/3</t>
  </si>
  <si>
    <t>Середньомісячні витрати на оплату праці одного працівника (грн), у тому числі: (включно ЕСВ)</t>
  </si>
  <si>
    <t>72/1</t>
  </si>
  <si>
    <t>72/2</t>
  </si>
  <si>
    <t>72/3</t>
  </si>
  <si>
    <t>Середньомісячна заробітна плата одного працівника (грн), у тому числі: (без ЕСВ)</t>
  </si>
  <si>
    <t>Заборгованість по заробітній платі,  у тому числі:</t>
  </si>
  <si>
    <t>73/1</t>
  </si>
  <si>
    <t>73/2</t>
  </si>
  <si>
    <t>73/3</t>
  </si>
  <si>
    <t>Начальник</t>
  </si>
  <si>
    <t>_____________________</t>
  </si>
  <si>
    <t>Сергій МОСТІПАКА</t>
  </si>
  <si>
    <t>(посада)</t>
  </si>
  <si>
    <t>(підпис)</t>
  </si>
  <si>
    <t>Економіст</t>
  </si>
  <si>
    <t>Людмила ШИШКІНА</t>
  </si>
  <si>
    <t>Факт минулого року- 2023</t>
  </si>
  <si>
    <t>План поточного  року - 2024</t>
  </si>
  <si>
    <t>Прогнозні показники поточного року -  2024</t>
  </si>
  <si>
    <t>Плановий рік, усього  тобто 2025</t>
  </si>
  <si>
    <t>місцеве бюджетне фінансування</t>
  </si>
  <si>
    <t xml:space="preserve">ПДФО </t>
  </si>
  <si>
    <t>34/7</t>
  </si>
  <si>
    <t>35/2</t>
  </si>
  <si>
    <t>35/3</t>
  </si>
  <si>
    <t>Забір, очищення та постачання води (основний)</t>
  </si>
  <si>
    <t>Комунальне підприємство "Бучасервіс"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</si>
</sst>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_(* #,##0_);_(* \(#,##0\);_(* &quot;-&quot;_);_(@_)"/>
    <numFmt numFmtId="166" formatCode="0.0%"/>
    <numFmt numFmtId="167" formatCode="#,##0.0"/>
  </numFmts>
  <fonts count="4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</font>
    <font>
      <sz val="9"/>
      <name val="Calibri"/>
      <family val="2"/>
      <charset val="204"/>
    </font>
    <font>
      <sz val="11"/>
      <color rgb="FFFF0000"/>
      <name val="Calibri"/>
      <family val="2"/>
      <charset val="204"/>
    </font>
    <font>
      <b/>
      <i/>
      <sz val="11"/>
      <name val="Calibri"/>
      <family val="2"/>
      <charset val="204"/>
    </font>
    <font>
      <b/>
      <i/>
      <sz val="9"/>
      <name val="Calibri"/>
      <family val="2"/>
      <charset val="204"/>
    </font>
    <font>
      <b/>
      <i/>
      <sz val="11"/>
      <color rgb="FFFF0000"/>
      <name val="Calibri"/>
      <family val="2"/>
      <charset val="204"/>
    </font>
    <font>
      <sz val="8"/>
      <name val="Calibri"/>
      <family val="2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2">
    <xf numFmtId="0" fontId="0" fillId="0" borderId="0" xfId="0"/>
    <xf numFmtId="0" fontId="2" fillId="0" borderId="0" xfId="0" applyFont="1" applyFill="1"/>
    <xf numFmtId="0" fontId="3" fillId="0" borderId="0" xfId="0" applyFont="1" applyFill="1"/>
    <xf numFmtId="3" fontId="4" fillId="0" borderId="0" xfId="0" applyNumberFormat="1" applyFont="1" applyFill="1"/>
    <xf numFmtId="3" fontId="4" fillId="0" borderId="0" xfId="0" applyNumberFormat="1" applyFont="1" applyFill="1" applyAlignment="1">
      <alignment horizontal="center"/>
    </xf>
    <xf numFmtId="0" fontId="5" fillId="0" borderId="0" xfId="0" applyFont="1"/>
    <xf numFmtId="0" fontId="6" fillId="0" borderId="0" xfId="0" applyFont="1" applyFill="1"/>
    <xf numFmtId="0" fontId="7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3" fontId="8" fillId="0" borderId="0" xfId="0" applyNumberFormat="1" applyFont="1" applyFill="1" applyAlignment="1">
      <alignment horizontal="left" vertical="center"/>
    </xf>
    <xf numFmtId="3" fontId="4" fillId="0" borderId="0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left" vertical="center" wrapText="1"/>
    </xf>
    <xf numFmtId="3" fontId="8" fillId="0" borderId="0" xfId="0" applyNumberFormat="1" applyFont="1" applyFill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 wrapText="1"/>
    </xf>
    <xf numFmtId="3" fontId="7" fillId="2" borderId="0" xfId="0" applyNumberFormat="1" applyFont="1" applyFill="1" applyAlignment="1">
      <alignment horizontal="center" vertical="center"/>
    </xf>
    <xf numFmtId="3" fontId="7" fillId="0" borderId="0" xfId="0" applyNumberFormat="1" applyFont="1" applyFill="1" applyBorder="1" applyAlignment="1">
      <alignment horizontal="left" vertical="center" wrapText="1"/>
    </xf>
    <xf numFmtId="164" fontId="7" fillId="0" borderId="0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164" fontId="12" fillId="0" borderId="0" xfId="0" applyNumberFormat="1" applyFont="1" applyFill="1" applyBorder="1" applyAlignment="1">
      <alignment vertical="center" wrapText="1"/>
    </xf>
    <xf numFmtId="164" fontId="6" fillId="0" borderId="0" xfId="0" applyNumberFormat="1" applyFont="1" applyFill="1" applyAlignment="1">
      <alignment vertical="center" wrapText="1"/>
    </xf>
    <xf numFmtId="3" fontId="6" fillId="0" borderId="0" xfId="0" applyNumberFormat="1" applyFont="1" applyFill="1" applyAlignment="1">
      <alignment vertical="center" wrapText="1"/>
    </xf>
    <xf numFmtId="164" fontId="6" fillId="0" borderId="0" xfId="0" applyNumberFormat="1" applyFont="1" applyFill="1"/>
    <xf numFmtId="2" fontId="6" fillId="0" borderId="0" xfId="0" applyNumberFormat="1" applyFont="1" applyFill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3" fontId="14" fillId="0" borderId="0" xfId="0" applyNumberFormat="1" applyFont="1" applyFill="1" applyBorder="1" applyAlignment="1">
      <alignment vertical="center" wrapText="1"/>
    </xf>
    <xf numFmtId="3" fontId="14" fillId="0" borderId="0" xfId="0" applyNumberFormat="1" applyFont="1" applyFill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16" fillId="0" borderId="0" xfId="0" applyFont="1" applyFill="1" applyAlignment="1">
      <alignment vertical="center" wrapText="1"/>
    </xf>
    <xf numFmtId="3" fontId="17" fillId="0" borderId="0" xfId="0" applyNumberFormat="1" applyFont="1" applyFill="1" applyAlignment="1">
      <alignment vertical="center" wrapText="1"/>
    </xf>
    <xf numFmtId="3" fontId="17" fillId="0" borderId="0" xfId="0" applyNumberFormat="1" applyFont="1" applyFill="1" applyAlignment="1">
      <alignment horizontal="center" vertical="center" wrapText="1"/>
    </xf>
    <xf numFmtId="3" fontId="15" fillId="0" borderId="0" xfId="0" applyNumberFormat="1" applyFont="1" applyFill="1" applyAlignment="1">
      <alignment vertical="center" wrapText="1"/>
    </xf>
    <xf numFmtId="0" fontId="20" fillId="0" borderId="0" xfId="0" applyFont="1"/>
    <xf numFmtId="1" fontId="18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7" fillId="2" borderId="0" xfId="0" applyNumberFormat="1" applyFont="1" applyFill="1" applyAlignment="1">
      <alignment horizontal="center"/>
    </xf>
    <xf numFmtId="3" fontId="2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0" fontId="26" fillId="0" borderId="0" xfId="0" applyFont="1"/>
    <xf numFmtId="3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/>
    <xf numFmtId="164" fontId="9" fillId="0" borderId="1" xfId="0" applyNumberFormat="1" applyFont="1" applyFill="1" applyBorder="1" applyAlignment="1">
      <alignment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right" vertical="center" wrapText="1"/>
    </xf>
    <xf numFmtId="0" fontId="29" fillId="0" borderId="1" xfId="0" applyFont="1" applyFill="1" applyBorder="1" applyAlignment="1">
      <alignment horizontal="right" vertical="center" wrapText="1"/>
    </xf>
    <xf numFmtId="3" fontId="23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/>
    <xf numFmtId="0" fontId="13" fillId="0" borderId="1" xfId="0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0" fontId="31" fillId="0" borderId="0" xfId="0" applyFont="1"/>
    <xf numFmtId="0" fontId="21" fillId="0" borderId="1" xfId="0" applyFont="1" applyFill="1" applyBorder="1"/>
    <xf numFmtId="0" fontId="3" fillId="0" borderId="1" xfId="0" applyFont="1" applyFill="1" applyBorder="1" applyAlignment="1">
      <alignment horizontal="right"/>
    </xf>
    <xf numFmtId="3" fontId="32" fillId="0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3" fontId="27" fillId="0" borderId="1" xfId="0" applyNumberFormat="1" applyFont="1" applyFill="1" applyBorder="1" applyAlignment="1">
      <alignment horizontal="center" vertical="center"/>
    </xf>
    <xf numFmtId="3" fontId="27" fillId="2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 applyBorder="1"/>
    <xf numFmtId="164" fontId="2" fillId="0" borderId="0" xfId="0" applyNumberFormat="1" applyFont="1" applyFill="1" applyBorder="1" applyAlignment="1">
      <alignment shrinkToFit="1"/>
    </xf>
    <xf numFmtId="0" fontId="33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3" fontId="22" fillId="2" borderId="0" xfId="0" applyNumberFormat="1" applyFont="1" applyFill="1"/>
    <xf numFmtId="3" fontId="2" fillId="0" borderId="0" xfId="0" applyNumberFormat="1" applyFont="1"/>
    <xf numFmtId="164" fontId="2" fillId="0" borderId="0" xfId="0" applyNumberFormat="1" applyFont="1"/>
    <xf numFmtId="3" fontId="37" fillId="2" borderId="0" xfId="0" applyNumberFormat="1" applyFont="1" applyFill="1"/>
    <xf numFmtId="0" fontId="38" fillId="0" borderId="0" xfId="0" applyFont="1"/>
    <xf numFmtId="3" fontId="1" fillId="0" borderId="0" xfId="0" applyNumberFormat="1" applyFont="1" applyFill="1"/>
    <xf numFmtId="3" fontId="1" fillId="0" borderId="0" xfId="0" applyNumberFormat="1" applyFont="1" applyAlignment="1">
      <alignment horizontal="center"/>
    </xf>
    <xf numFmtId="3" fontId="26" fillId="0" borderId="0" xfId="0" applyNumberFormat="1" applyFont="1"/>
    <xf numFmtId="164" fontId="26" fillId="0" borderId="0" xfId="0" applyNumberFormat="1" applyFont="1"/>
    <xf numFmtId="3" fontId="2" fillId="0" borderId="0" xfId="0" applyNumberFormat="1" applyFont="1" applyFill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/>
    </xf>
    <xf numFmtId="165" fontId="27" fillId="0" borderId="5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vertical="center"/>
    </xf>
    <xf numFmtId="165" fontId="27" fillId="0" borderId="0" xfId="0" applyNumberFormat="1" applyFont="1" applyFill="1" applyAlignment="1">
      <alignment horizontal="center"/>
    </xf>
    <xf numFmtId="3" fontId="23" fillId="0" borderId="1" xfId="0" applyNumberFormat="1" applyFont="1" applyBorder="1" applyAlignment="1">
      <alignment horizontal="center" vertical="center" wrapText="1"/>
    </xf>
    <xf numFmtId="3" fontId="32" fillId="0" borderId="1" xfId="0" applyNumberFormat="1" applyFont="1" applyFill="1" applyBorder="1" applyAlignment="1">
      <alignment horizontal="center"/>
    </xf>
    <xf numFmtId="3" fontId="27" fillId="0" borderId="1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7" fontId="9" fillId="0" borderId="1" xfId="0" applyNumberFormat="1" applyFont="1" applyBorder="1" applyAlignment="1">
      <alignment horizontal="center"/>
    </xf>
    <xf numFmtId="2" fontId="2" fillId="0" borderId="1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/>
    <xf numFmtId="2" fontId="25" fillId="0" borderId="1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vertical="center" wrapText="1"/>
    </xf>
    <xf numFmtId="2" fontId="22" fillId="0" borderId="1" xfId="0" applyNumberFormat="1" applyFont="1" applyFill="1" applyBorder="1"/>
    <xf numFmtId="2" fontId="22" fillId="2" borderId="1" xfId="0" applyNumberFormat="1" applyFont="1" applyFill="1" applyBorder="1" applyAlignment="1">
      <alignment horizontal="center" vertical="center" wrapText="1"/>
    </xf>
    <xf numFmtId="2" fontId="22" fillId="0" borderId="2" xfId="0" applyNumberFormat="1" applyFont="1" applyFill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25" fillId="0" borderId="1" xfId="0" applyNumberFormat="1" applyFont="1" applyFill="1" applyBorder="1" applyAlignment="1">
      <alignment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2" fontId="25" fillId="0" borderId="1" xfId="0" applyNumberFormat="1" applyFont="1" applyFill="1" applyBorder="1" applyAlignment="1">
      <alignment horizontal="center" wrapText="1"/>
    </xf>
    <xf numFmtId="2" fontId="9" fillId="0" borderId="1" xfId="0" applyNumberFormat="1" applyFont="1" applyFill="1" applyBorder="1" applyAlignment="1">
      <alignment vertical="center" wrapText="1"/>
    </xf>
    <xf numFmtId="2" fontId="9" fillId="0" borderId="1" xfId="0" applyNumberFormat="1" applyFont="1" applyFill="1" applyBorder="1"/>
    <xf numFmtId="2" fontId="2" fillId="0" borderId="1" xfId="0" applyNumberFormat="1" applyFont="1" applyFill="1" applyBorder="1" applyAlignment="1">
      <alignment horizontal="center"/>
    </xf>
    <xf numFmtId="2" fontId="30" fillId="0" borderId="1" xfId="0" applyNumberFormat="1" applyFont="1" applyFill="1" applyBorder="1" applyAlignment="1">
      <alignment horizontal="center" vertical="center" wrapText="1"/>
    </xf>
    <xf numFmtId="3" fontId="32" fillId="0" borderId="1" xfId="0" applyNumberFormat="1" applyFont="1" applyFill="1" applyBorder="1" applyAlignment="1">
      <alignment horizontal="center" vertical="center" wrapText="1"/>
    </xf>
    <xf numFmtId="4" fontId="32" fillId="0" borderId="1" xfId="0" applyNumberFormat="1" applyFont="1" applyFill="1" applyBorder="1" applyAlignment="1">
      <alignment horizontal="center" vertical="center" wrapText="1"/>
    </xf>
    <xf numFmtId="3" fontId="27" fillId="0" borderId="1" xfId="0" applyNumberFormat="1" applyFont="1" applyFill="1" applyBorder="1" applyAlignment="1">
      <alignment horizontal="center" vertical="center" wrapText="1"/>
    </xf>
    <xf numFmtId="3" fontId="27" fillId="2" borderId="1" xfId="0" applyNumberFormat="1" applyFont="1" applyFill="1" applyBorder="1" applyAlignment="1">
      <alignment horizontal="center" vertical="center" wrapText="1"/>
    </xf>
    <xf numFmtId="4" fontId="27" fillId="2" borderId="1" xfId="0" applyNumberFormat="1" applyFont="1" applyFill="1" applyBorder="1" applyAlignment="1">
      <alignment horizontal="center" vertical="center" wrapText="1"/>
    </xf>
    <xf numFmtId="3" fontId="39" fillId="0" borderId="1" xfId="0" applyNumberFormat="1" applyFont="1" applyFill="1" applyBorder="1" applyAlignment="1">
      <alignment vertical="center" wrapText="1"/>
    </xf>
    <xf numFmtId="3" fontId="39" fillId="0" borderId="1" xfId="0" applyNumberFormat="1" applyFont="1" applyFill="1" applyBorder="1" applyAlignment="1">
      <alignment horizontal="center" vertical="center" wrapText="1"/>
    </xf>
    <xf numFmtId="4" fontId="39" fillId="0" borderId="1" xfId="0" applyNumberFormat="1" applyFont="1" applyFill="1" applyBorder="1" applyAlignment="1">
      <alignment vertical="center" wrapText="1"/>
    </xf>
    <xf numFmtId="3" fontId="27" fillId="0" borderId="1" xfId="0" applyNumberFormat="1" applyFont="1" applyFill="1" applyBorder="1" applyAlignment="1">
      <alignment vertical="center" wrapText="1"/>
    </xf>
    <xf numFmtId="4" fontId="27" fillId="0" borderId="1" xfId="0" applyNumberFormat="1" applyFont="1" applyFill="1" applyBorder="1" applyAlignment="1">
      <alignment vertical="center" wrapText="1"/>
    </xf>
    <xf numFmtId="4" fontId="27" fillId="0" borderId="1" xfId="0" applyNumberFormat="1" applyFont="1" applyFill="1" applyBorder="1"/>
    <xf numFmtId="3" fontId="32" fillId="2" borderId="1" xfId="0" applyNumberFormat="1" applyFont="1" applyFill="1" applyBorder="1" applyAlignment="1">
      <alignment horizontal="center" vertical="center" wrapText="1"/>
    </xf>
    <xf numFmtId="3" fontId="32" fillId="0" borderId="1" xfId="0" applyNumberFormat="1" applyFont="1" applyFill="1" applyBorder="1" applyAlignment="1">
      <alignment vertical="center" wrapText="1"/>
    </xf>
    <xf numFmtId="4" fontId="32" fillId="0" borderId="1" xfId="0" applyNumberFormat="1" applyFont="1" applyFill="1" applyBorder="1" applyAlignment="1">
      <alignment vertical="center" wrapText="1"/>
    </xf>
    <xf numFmtId="4" fontId="32" fillId="0" borderId="1" xfId="0" applyNumberFormat="1" applyFont="1" applyFill="1" applyBorder="1"/>
    <xf numFmtId="3" fontId="32" fillId="0" borderId="1" xfId="0" applyNumberFormat="1" applyFont="1" applyBorder="1" applyAlignment="1">
      <alignment horizontal="center" vertical="center" wrapText="1"/>
    </xf>
    <xf numFmtId="4" fontId="3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 wrapText="1"/>
    </xf>
    <xf numFmtId="164" fontId="9" fillId="0" borderId="0" xfId="0" applyNumberFormat="1" applyFont="1" applyFill="1" applyAlignment="1">
      <alignment horizontal="left" vertical="center"/>
    </xf>
    <xf numFmtId="0" fontId="11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shrinkToFit="1"/>
    </xf>
    <xf numFmtId="0" fontId="11" fillId="0" borderId="3" xfId="0" applyFont="1" applyFill="1" applyBorder="1" applyAlignment="1">
      <alignment horizontal="left" vertical="center" shrinkToFit="1"/>
    </xf>
    <xf numFmtId="0" fontId="11" fillId="0" borderId="4" xfId="0" applyFont="1" applyFill="1" applyBorder="1" applyAlignment="1">
      <alignment horizontal="left" vertical="center" shrinkToFi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vertical="center" shrinkToFit="1"/>
    </xf>
    <xf numFmtId="164" fontId="6" fillId="0" borderId="0" xfId="0" applyNumberFormat="1" applyFont="1" applyFill="1" applyAlignment="1">
      <alignment shrinkToFit="1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3" fontId="18" fillId="0" borderId="1" xfId="0" applyNumberFormat="1" applyFont="1" applyFill="1" applyBorder="1" applyAlignment="1">
      <alignment vertical="top" wrapText="1"/>
    </xf>
    <xf numFmtId="3" fontId="18" fillId="0" borderId="1" xfId="0" applyNumberFormat="1" applyFont="1" applyFill="1" applyBorder="1" applyAlignment="1">
      <alignment horizontal="center" vertical="top" wrapText="1"/>
    </xf>
    <xf numFmtId="3" fontId="19" fillId="0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6" fillId="0" borderId="7" xfId="0" applyFont="1" applyBorder="1" applyAlignment="1">
      <alignment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166" fontId="2" fillId="0" borderId="4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 shrinkToFit="1"/>
    </xf>
    <xf numFmtId="166" fontId="2" fillId="0" borderId="4" xfId="0" applyNumberFormat="1" applyFont="1" applyFill="1" applyBorder="1" applyAlignment="1">
      <alignment horizontal="center" vertical="center" shrinkToFit="1"/>
    </xf>
    <xf numFmtId="0" fontId="2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shrinkToFit="1"/>
    </xf>
    <xf numFmtId="164" fontId="9" fillId="0" borderId="4" xfId="0" applyNumberFormat="1" applyFont="1" applyFill="1" applyBorder="1" applyAlignment="1">
      <alignment horizontal="center" vertical="center" shrinkToFit="1"/>
    </xf>
    <xf numFmtId="166" fontId="9" fillId="0" borderId="2" xfId="0" applyNumberFormat="1" applyFont="1" applyFill="1" applyBorder="1" applyAlignment="1">
      <alignment horizontal="center" vertical="center" wrapText="1"/>
    </xf>
    <xf numFmtId="166" fontId="9" fillId="0" borderId="4" xfId="0" applyNumberFormat="1" applyFont="1" applyFill="1" applyBorder="1" applyAlignment="1">
      <alignment horizontal="center" vertical="center" wrapText="1"/>
    </xf>
    <xf numFmtId="166" fontId="9" fillId="0" borderId="2" xfId="0" applyNumberFormat="1" applyFont="1" applyFill="1" applyBorder="1" applyAlignment="1">
      <alignment horizontal="center" vertical="center" shrinkToFit="1"/>
    </xf>
    <xf numFmtId="166" fontId="9" fillId="0" borderId="4" xfId="0" applyNumberFormat="1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vertical="center" wrapText="1"/>
    </xf>
    <xf numFmtId="3" fontId="35" fillId="2" borderId="0" xfId="0" applyNumberFormat="1" applyFont="1" applyFill="1" applyAlignment="1"/>
    <xf numFmtId="0" fontId="36" fillId="0" borderId="0" xfId="0" applyFont="1" applyAlignment="1"/>
    <xf numFmtId="166" fontId="6" fillId="0" borderId="4" xfId="0" applyNumberFormat="1" applyFont="1" applyFill="1" applyBorder="1" applyAlignment="1">
      <alignment horizontal="center" vertical="center" shrinkToFit="1"/>
    </xf>
    <xf numFmtId="166" fontId="2" fillId="0" borderId="2" xfId="0" applyNumberFormat="1" applyFont="1" applyFill="1" applyBorder="1" applyAlignment="1">
      <alignment horizontal="center" vertical="center"/>
    </xf>
    <xf numFmtId="166" fontId="26" fillId="0" borderId="4" xfId="0" applyNumberFormat="1" applyFont="1" applyBorder="1" applyAlignment="1">
      <alignment horizontal="center" vertical="center"/>
    </xf>
    <xf numFmtId="166" fontId="9" fillId="0" borderId="2" xfId="0" applyNumberFormat="1" applyFont="1" applyFill="1" applyBorder="1" applyAlignment="1">
      <alignment horizontal="center" vertical="center"/>
    </xf>
    <xf numFmtId="166" fontId="12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5"/>
  <sheetViews>
    <sheetView tabSelected="1" view="pageBreakPreview" topLeftCell="A54" zoomScale="81" zoomScaleNormal="100" zoomScaleSheetLayoutView="81" workbookViewId="0">
      <selection activeCell="H81" sqref="H81:K81"/>
    </sheetView>
  </sheetViews>
  <sheetFormatPr defaultRowHeight="15" x14ac:dyDescent="0.25"/>
  <cols>
    <col min="1" max="1" width="29.7109375" customWidth="1"/>
    <col min="2" max="2" width="30.5703125" customWidth="1"/>
    <col min="3" max="3" width="5.7109375" style="73" customWidth="1"/>
    <col min="4" max="4" width="10.5703125" style="94" customWidth="1"/>
    <col min="5" max="5" width="9.85546875" style="95" customWidth="1"/>
    <col min="6" max="6" width="12.85546875" style="49" customWidth="1"/>
    <col min="7" max="7" width="9.5703125" style="96" customWidth="1"/>
    <col min="8" max="8" width="11.7109375" style="97" customWidth="1"/>
    <col min="9" max="9" width="11.85546875" style="97" customWidth="1"/>
    <col min="10" max="10" width="13.140625" style="97" customWidth="1"/>
    <col min="11" max="11" width="11.85546875" style="97" customWidth="1"/>
    <col min="242" max="242" width="29.7109375" customWidth="1"/>
    <col min="243" max="243" width="33.5703125" customWidth="1"/>
    <col min="244" max="244" width="5.7109375" customWidth="1"/>
    <col min="245" max="245" width="10.5703125" customWidth="1"/>
    <col min="246" max="246" width="9.85546875" customWidth="1"/>
    <col min="247" max="247" width="14.140625" customWidth="1"/>
    <col min="248" max="248" width="10.85546875" customWidth="1"/>
    <col min="249" max="249" width="9.5703125" customWidth="1"/>
    <col min="250" max="250" width="10.5703125" customWidth="1"/>
    <col min="251" max="251" width="9.5703125" customWidth="1"/>
    <col min="252" max="252" width="9.85546875" customWidth="1"/>
    <col min="253" max="253" width="26.5703125" customWidth="1"/>
    <col min="254" max="254" width="14.140625" bestFit="1" customWidth="1"/>
    <col min="498" max="498" width="29.7109375" customWidth="1"/>
    <col min="499" max="499" width="33.5703125" customWidth="1"/>
    <col min="500" max="500" width="5.7109375" customWidth="1"/>
    <col min="501" max="501" width="10.5703125" customWidth="1"/>
    <col min="502" max="502" width="9.85546875" customWidth="1"/>
    <col min="503" max="503" width="14.140625" customWidth="1"/>
    <col min="504" max="504" width="10.85546875" customWidth="1"/>
    <col min="505" max="505" width="9.5703125" customWidth="1"/>
    <col min="506" max="506" width="10.5703125" customWidth="1"/>
    <col min="507" max="507" width="9.5703125" customWidth="1"/>
    <col min="508" max="508" width="9.85546875" customWidth="1"/>
    <col min="509" max="509" width="26.5703125" customWidth="1"/>
    <col min="510" max="510" width="14.140625" bestFit="1" customWidth="1"/>
    <col min="754" max="754" width="29.7109375" customWidth="1"/>
    <col min="755" max="755" width="33.5703125" customWidth="1"/>
    <col min="756" max="756" width="5.7109375" customWidth="1"/>
    <col min="757" max="757" width="10.5703125" customWidth="1"/>
    <col min="758" max="758" width="9.85546875" customWidth="1"/>
    <col min="759" max="759" width="14.140625" customWidth="1"/>
    <col min="760" max="760" width="10.85546875" customWidth="1"/>
    <col min="761" max="761" width="9.5703125" customWidth="1"/>
    <col min="762" max="762" width="10.5703125" customWidth="1"/>
    <col min="763" max="763" width="9.5703125" customWidth="1"/>
    <col min="764" max="764" width="9.85546875" customWidth="1"/>
    <col min="765" max="765" width="26.5703125" customWidth="1"/>
    <col min="766" max="766" width="14.140625" bestFit="1" customWidth="1"/>
    <col min="1010" max="1010" width="29.7109375" customWidth="1"/>
    <col min="1011" max="1011" width="33.5703125" customWidth="1"/>
    <col min="1012" max="1012" width="5.7109375" customWidth="1"/>
    <col min="1013" max="1013" width="10.5703125" customWidth="1"/>
    <col min="1014" max="1014" width="9.85546875" customWidth="1"/>
    <col min="1015" max="1015" width="14.140625" customWidth="1"/>
    <col min="1016" max="1016" width="10.85546875" customWidth="1"/>
    <col min="1017" max="1017" width="9.5703125" customWidth="1"/>
    <col min="1018" max="1018" width="10.5703125" customWidth="1"/>
    <col min="1019" max="1019" width="9.5703125" customWidth="1"/>
    <col min="1020" max="1020" width="9.85546875" customWidth="1"/>
    <col min="1021" max="1021" width="26.5703125" customWidth="1"/>
    <col min="1022" max="1022" width="14.140625" bestFit="1" customWidth="1"/>
    <col min="1266" max="1266" width="29.7109375" customWidth="1"/>
    <col min="1267" max="1267" width="33.5703125" customWidth="1"/>
    <col min="1268" max="1268" width="5.7109375" customWidth="1"/>
    <col min="1269" max="1269" width="10.5703125" customWidth="1"/>
    <col min="1270" max="1270" width="9.85546875" customWidth="1"/>
    <col min="1271" max="1271" width="14.140625" customWidth="1"/>
    <col min="1272" max="1272" width="10.85546875" customWidth="1"/>
    <col min="1273" max="1273" width="9.5703125" customWidth="1"/>
    <col min="1274" max="1274" width="10.5703125" customWidth="1"/>
    <col min="1275" max="1275" width="9.5703125" customWidth="1"/>
    <col min="1276" max="1276" width="9.85546875" customWidth="1"/>
    <col min="1277" max="1277" width="26.5703125" customWidth="1"/>
    <col min="1278" max="1278" width="14.140625" bestFit="1" customWidth="1"/>
    <col min="1522" max="1522" width="29.7109375" customWidth="1"/>
    <col min="1523" max="1523" width="33.5703125" customWidth="1"/>
    <col min="1524" max="1524" width="5.7109375" customWidth="1"/>
    <col min="1525" max="1525" width="10.5703125" customWidth="1"/>
    <col min="1526" max="1526" width="9.85546875" customWidth="1"/>
    <col min="1527" max="1527" width="14.140625" customWidth="1"/>
    <col min="1528" max="1528" width="10.85546875" customWidth="1"/>
    <col min="1529" max="1529" width="9.5703125" customWidth="1"/>
    <col min="1530" max="1530" width="10.5703125" customWidth="1"/>
    <col min="1531" max="1531" width="9.5703125" customWidth="1"/>
    <col min="1532" max="1532" width="9.85546875" customWidth="1"/>
    <col min="1533" max="1533" width="26.5703125" customWidth="1"/>
    <col min="1534" max="1534" width="14.140625" bestFit="1" customWidth="1"/>
    <col min="1778" max="1778" width="29.7109375" customWidth="1"/>
    <col min="1779" max="1779" width="33.5703125" customWidth="1"/>
    <col min="1780" max="1780" width="5.7109375" customWidth="1"/>
    <col min="1781" max="1781" width="10.5703125" customWidth="1"/>
    <col min="1782" max="1782" width="9.85546875" customWidth="1"/>
    <col min="1783" max="1783" width="14.140625" customWidth="1"/>
    <col min="1784" max="1784" width="10.85546875" customWidth="1"/>
    <col min="1785" max="1785" width="9.5703125" customWidth="1"/>
    <col min="1786" max="1786" width="10.5703125" customWidth="1"/>
    <col min="1787" max="1787" width="9.5703125" customWidth="1"/>
    <col min="1788" max="1788" width="9.85546875" customWidth="1"/>
    <col min="1789" max="1789" width="26.5703125" customWidth="1"/>
    <col min="1790" max="1790" width="14.140625" bestFit="1" customWidth="1"/>
    <col min="2034" max="2034" width="29.7109375" customWidth="1"/>
    <col min="2035" max="2035" width="33.5703125" customWidth="1"/>
    <col min="2036" max="2036" width="5.7109375" customWidth="1"/>
    <col min="2037" max="2037" width="10.5703125" customWidth="1"/>
    <col min="2038" max="2038" width="9.85546875" customWidth="1"/>
    <col min="2039" max="2039" width="14.140625" customWidth="1"/>
    <col min="2040" max="2040" width="10.85546875" customWidth="1"/>
    <col min="2041" max="2041" width="9.5703125" customWidth="1"/>
    <col min="2042" max="2042" width="10.5703125" customWidth="1"/>
    <col min="2043" max="2043" width="9.5703125" customWidth="1"/>
    <col min="2044" max="2044" width="9.85546875" customWidth="1"/>
    <col min="2045" max="2045" width="26.5703125" customWidth="1"/>
    <col min="2046" max="2046" width="14.140625" bestFit="1" customWidth="1"/>
    <col min="2290" max="2290" width="29.7109375" customWidth="1"/>
    <col min="2291" max="2291" width="33.5703125" customWidth="1"/>
    <col min="2292" max="2292" width="5.7109375" customWidth="1"/>
    <col min="2293" max="2293" width="10.5703125" customWidth="1"/>
    <col min="2294" max="2294" width="9.85546875" customWidth="1"/>
    <col min="2295" max="2295" width="14.140625" customWidth="1"/>
    <col min="2296" max="2296" width="10.85546875" customWidth="1"/>
    <col min="2297" max="2297" width="9.5703125" customWidth="1"/>
    <col min="2298" max="2298" width="10.5703125" customWidth="1"/>
    <col min="2299" max="2299" width="9.5703125" customWidth="1"/>
    <col min="2300" max="2300" width="9.85546875" customWidth="1"/>
    <col min="2301" max="2301" width="26.5703125" customWidth="1"/>
    <col min="2302" max="2302" width="14.140625" bestFit="1" customWidth="1"/>
    <col min="2546" max="2546" width="29.7109375" customWidth="1"/>
    <col min="2547" max="2547" width="33.5703125" customWidth="1"/>
    <col min="2548" max="2548" width="5.7109375" customWidth="1"/>
    <col min="2549" max="2549" width="10.5703125" customWidth="1"/>
    <col min="2550" max="2550" width="9.85546875" customWidth="1"/>
    <col min="2551" max="2551" width="14.140625" customWidth="1"/>
    <col min="2552" max="2552" width="10.85546875" customWidth="1"/>
    <col min="2553" max="2553" width="9.5703125" customWidth="1"/>
    <col min="2554" max="2554" width="10.5703125" customWidth="1"/>
    <col min="2555" max="2555" width="9.5703125" customWidth="1"/>
    <col min="2556" max="2556" width="9.85546875" customWidth="1"/>
    <col min="2557" max="2557" width="26.5703125" customWidth="1"/>
    <col min="2558" max="2558" width="14.140625" bestFit="1" customWidth="1"/>
    <col min="2802" max="2802" width="29.7109375" customWidth="1"/>
    <col min="2803" max="2803" width="33.5703125" customWidth="1"/>
    <col min="2804" max="2804" width="5.7109375" customWidth="1"/>
    <col min="2805" max="2805" width="10.5703125" customWidth="1"/>
    <col min="2806" max="2806" width="9.85546875" customWidth="1"/>
    <col min="2807" max="2807" width="14.140625" customWidth="1"/>
    <col min="2808" max="2808" width="10.85546875" customWidth="1"/>
    <col min="2809" max="2809" width="9.5703125" customWidth="1"/>
    <col min="2810" max="2810" width="10.5703125" customWidth="1"/>
    <col min="2811" max="2811" width="9.5703125" customWidth="1"/>
    <col min="2812" max="2812" width="9.85546875" customWidth="1"/>
    <col min="2813" max="2813" width="26.5703125" customWidth="1"/>
    <col min="2814" max="2814" width="14.140625" bestFit="1" customWidth="1"/>
    <col min="3058" max="3058" width="29.7109375" customWidth="1"/>
    <col min="3059" max="3059" width="33.5703125" customWidth="1"/>
    <col min="3060" max="3060" width="5.7109375" customWidth="1"/>
    <col min="3061" max="3061" width="10.5703125" customWidth="1"/>
    <col min="3062" max="3062" width="9.85546875" customWidth="1"/>
    <col min="3063" max="3063" width="14.140625" customWidth="1"/>
    <col min="3064" max="3064" width="10.85546875" customWidth="1"/>
    <col min="3065" max="3065" width="9.5703125" customWidth="1"/>
    <col min="3066" max="3066" width="10.5703125" customWidth="1"/>
    <col min="3067" max="3067" width="9.5703125" customWidth="1"/>
    <col min="3068" max="3068" width="9.85546875" customWidth="1"/>
    <col min="3069" max="3069" width="26.5703125" customWidth="1"/>
    <col min="3070" max="3070" width="14.140625" bestFit="1" customWidth="1"/>
    <col min="3314" max="3314" width="29.7109375" customWidth="1"/>
    <col min="3315" max="3315" width="33.5703125" customWidth="1"/>
    <col min="3316" max="3316" width="5.7109375" customWidth="1"/>
    <col min="3317" max="3317" width="10.5703125" customWidth="1"/>
    <col min="3318" max="3318" width="9.85546875" customWidth="1"/>
    <col min="3319" max="3319" width="14.140625" customWidth="1"/>
    <col min="3320" max="3320" width="10.85546875" customWidth="1"/>
    <col min="3321" max="3321" width="9.5703125" customWidth="1"/>
    <col min="3322" max="3322" width="10.5703125" customWidth="1"/>
    <col min="3323" max="3323" width="9.5703125" customWidth="1"/>
    <col min="3324" max="3324" width="9.85546875" customWidth="1"/>
    <col min="3325" max="3325" width="26.5703125" customWidth="1"/>
    <col min="3326" max="3326" width="14.140625" bestFit="1" customWidth="1"/>
    <col min="3570" max="3570" width="29.7109375" customWidth="1"/>
    <col min="3571" max="3571" width="33.5703125" customWidth="1"/>
    <col min="3572" max="3572" width="5.7109375" customWidth="1"/>
    <col min="3573" max="3573" width="10.5703125" customWidth="1"/>
    <col min="3574" max="3574" width="9.85546875" customWidth="1"/>
    <col min="3575" max="3575" width="14.140625" customWidth="1"/>
    <col min="3576" max="3576" width="10.85546875" customWidth="1"/>
    <col min="3577" max="3577" width="9.5703125" customWidth="1"/>
    <col min="3578" max="3578" width="10.5703125" customWidth="1"/>
    <col min="3579" max="3579" width="9.5703125" customWidth="1"/>
    <col min="3580" max="3580" width="9.85546875" customWidth="1"/>
    <col min="3581" max="3581" width="26.5703125" customWidth="1"/>
    <col min="3582" max="3582" width="14.140625" bestFit="1" customWidth="1"/>
    <col min="3826" max="3826" width="29.7109375" customWidth="1"/>
    <col min="3827" max="3827" width="33.5703125" customWidth="1"/>
    <col min="3828" max="3828" width="5.7109375" customWidth="1"/>
    <col min="3829" max="3829" width="10.5703125" customWidth="1"/>
    <col min="3830" max="3830" width="9.85546875" customWidth="1"/>
    <col min="3831" max="3831" width="14.140625" customWidth="1"/>
    <col min="3832" max="3832" width="10.85546875" customWidth="1"/>
    <col min="3833" max="3833" width="9.5703125" customWidth="1"/>
    <col min="3834" max="3834" width="10.5703125" customWidth="1"/>
    <col min="3835" max="3835" width="9.5703125" customWidth="1"/>
    <col min="3836" max="3836" width="9.85546875" customWidth="1"/>
    <col min="3837" max="3837" width="26.5703125" customWidth="1"/>
    <col min="3838" max="3838" width="14.140625" bestFit="1" customWidth="1"/>
    <col min="4082" max="4082" width="29.7109375" customWidth="1"/>
    <col min="4083" max="4083" width="33.5703125" customWidth="1"/>
    <col min="4084" max="4084" width="5.7109375" customWidth="1"/>
    <col min="4085" max="4085" width="10.5703125" customWidth="1"/>
    <col min="4086" max="4086" width="9.85546875" customWidth="1"/>
    <col min="4087" max="4087" width="14.140625" customWidth="1"/>
    <col min="4088" max="4088" width="10.85546875" customWidth="1"/>
    <col min="4089" max="4089" width="9.5703125" customWidth="1"/>
    <col min="4090" max="4090" width="10.5703125" customWidth="1"/>
    <col min="4091" max="4091" width="9.5703125" customWidth="1"/>
    <col min="4092" max="4092" width="9.85546875" customWidth="1"/>
    <col min="4093" max="4093" width="26.5703125" customWidth="1"/>
    <col min="4094" max="4094" width="14.140625" bestFit="1" customWidth="1"/>
    <col min="4338" max="4338" width="29.7109375" customWidth="1"/>
    <col min="4339" max="4339" width="33.5703125" customWidth="1"/>
    <col min="4340" max="4340" width="5.7109375" customWidth="1"/>
    <col min="4341" max="4341" width="10.5703125" customWidth="1"/>
    <col min="4342" max="4342" width="9.85546875" customWidth="1"/>
    <col min="4343" max="4343" width="14.140625" customWidth="1"/>
    <col min="4344" max="4344" width="10.85546875" customWidth="1"/>
    <col min="4345" max="4345" width="9.5703125" customWidth="1"/>
    <col min="4346" max="4346" width="10.5703125" customWidth="1"/>
    <col min="4347" max="4347" width="9.5703125" customWidth="1"/>
    <col min="4348" max="4348" width="9.85546875" customWidth="1"/>
    <col min="4349" max="4349" width="26.5703125" customWidth="1"/>
    <col min="4350" max="4350" width="14.140625" bestFit="1" customWidth="1"/>
    <col min="4594" max="4594" width="29.7109375" customWidth="1"/>
    <col min="4595" max="4595" width="33.5703125" customWidth="1"/>
    <col min="4596" max="4596" width="5.7109375" customWidth="1"/>
    <col min="4597" max="4597" width="10.5703125" customWidth="1"/>
    <col min="4598" max="4598" width="9.85546875" customWidth="1"/>
    <col min="4599" max="4599" width="14.140625" customWidth="1"/>
    <col min="4600" max="4600" width="10.85546875" customWidth="1"/>
    <col min="4601" max="4601" width="9.5703125" customWidth="1"/>
    <col min="4602" max="4602" width="10.5703125" customWidth="1"/>
    <col min="4603" max="4603" width="9.5703125" customWidth="1"/>
    <col min="4604" max="4604" width="9.85546875" customWidth="1"/>
    <col min="4605" max="4605" width="26.5703125" customWidth="1"/>
    <col min="4606" max="4606" width="14.140625" bestFit="1" customWidth="1"/>
    <col min="4850" max="4850" width="29.7109375" customWidth="1"/>
    <col min="4851" max="4851" width="33.5703125" customWidth="1"/>
    <col min="4852" max="4852" width="5.7109375" customWidth="1"/>
    <col min="4853" max="4853" width="10.5703125" customWidth="1"/>
    <col min="4854" max="4854" width="9.85546875" customWidth="1"/>
    <col min="4855" max="4855" width="14.140625" customWidth="1"/>
    <col min="4856" max="4856" width="10.85546875" customWidth="1"/>
    <col min="4857" max="4857" width="9.5703125" customWidth="1"/>
    <col min="4858" max="4858" width="10.5703125" customWidth="1"/>
    <col min="4859" max="4859" width="9.5703125" customWidth="1"/>
    <col min="4860" max="4860" width="9.85546875" customWidth="1"/>
    <col min="4861" max="4861" width="26.5703125" customWidth="1"/>
    <col min="4862" max="4862" width="14.140625" bestFit="1" customWidth="1"/>
    <col min="5106" max="5106" width="29.7109375" customWidth="1"/>
    <col min="5107" max="5107" width="33.5703125" customWidth="1"/>
    <col min="5108" max="5108" width="5.7109375" customWidth="1"/>
    <col min="5109" max="5109" width="10.5703125" customWidth="1"/>
    <col min="5110" max="5110" width="9.85546875" customWidth="1"/>
    <col min="5111" max="5111" width="14.140625" customWidth="1"/>
    <col min="5112" max="5112" width="10.85546875" customWidth="1"/>
    <col min="5113" max="5113" width="9.5703125" customWidth="1"/>
    <col min="5114" max="5114" width="10.5703125" customWidth="1"/>
    <col min="5115" max="5115" width="9.5703125" customWidth="1"/>
    <col min="5116" max="5116" width="9.85546875" customWidth="1"/>
    <col min="5117" max="5117" width="26.5703125" customWidth="1"/>
    <col min="5118" max="5118" width="14.140625" bestFit="1" customWidth="1"/>
    <col min="5362" max="5362" width="29.7109375" customWidth="1"/>
    <col min="5363" max="5363" width="33.5703125" customWidth="1"/>
    <col min="5364" max="5364" width="5.7109375" customWidth="1"/>
    <col min="5365" max="5365" width="10.5703125" customWidth="1"/>
    <col min="5366" max="5366" width="9.85546875" customWidth="1"/>
    <col min="5367" max="5367" width="14.140625" customWidth="1"/>
    <col min="5368" max="5368" width="10.85546875" customWidth="1"/>
    <col min="5369" max="5369" width="9.5703125" customWidth="1"/>
    <col min="5370" max="5370" width="10.5703125" customWidth="1"/>
    <col min="5371" max="5371" width="9.5703125" customWidth="1"/>
    <col min="5372" max="5372" width="9.85546875" customWidth="1"/>
    <col min="5373" max="5373" width="26.5703125" customWidth="1"/>
    <col min="5374" max="5374" width="14.140625" bestFit="1" customWidth="1"/>
    <col min="5618" max="5618" width="29.7109375" customWidth="1"/>
    <col min="5619" max="5619" width="33.5703125" customWidth="1"/>
    <col min="5620" max="5620" width="5.7109375" customWidth="1"/>
    <col min="5621" max="5621" width="10.5703125" customWidth="1"/>
    <col min="5622" max="5622" width="9.85546875" customWidth="1"/>
    <col min="5623" max="5623" width="14.140625" customWidth="1"/>
    <col min="5624" max="5624" width="10.85546875" customWidth="1"/>
    <col min="5625" max="5625" width="9.5703125" customWidth="1"/>
    <col min="5626" max="5626" width="10.5703125" customWidth="1"/>
    <col min="5627" max="5627" width="9.5703125" customWidth="1"/>
    <col min="5628" max="5628" width="9.85546875" customWidth="1"/>
    <col min="5629" max="5629" width="26.5703125" customWidth="1"/>
    <col min="5630" max="5630" width="14.140625" bestFit="1" customWidth="1"/>
    <col min="5874" max="5874" width="29.7109375" customWidth="1"/>
    <col min="5875" max="5875" width="33.5703125" customWidth="1"/>
    <col min="5876" max="5876" width="5.7109375" customWidth="1"/>
    <col min="5877" max="5877" width="10.5703125" customWidth="1"/>
    <col min="5878" max="5878" width="9.85546875" customWidth="1"/>
    <col min="5879" max="5879" width="14.140625" customWidth="1"/>
    <col min="5880" max="5880" width="10.85546875" customWidth="1"/>
    <col min="5881" max="5881" width="9.5703125" customWidth="1"/>
    <col min="5882" max="5882" width="10.5703125" customWidth="1"/>
    <col min="5883" max="5883" width="9.5703125" customWidth="1"/>
    <col min="5884" max="5884" width="9.85546875" customWidth="1"/>
    <col min="5885" max="5885" width="26.5703125" customWidth="1"/>
    <col min="5886" max="5886" width="14.140625" bestFit="1" customWidth="1"/>
    <col min="6130" max="6130" width="29.7109375" customWidth="1"/>
    <col min="6131" max="6131" width="33.5703125" customWidth="1"/>
    <col min="6132" max="6132" width="5.7109375" customWidth="1"/>
    <col min="6133" max="6133" width="10.5703125" customWidth="1"/>
    <col min="6134" max="6134" width="9.85546875" customWidth="1"/>
    <col min="6135" max="6135" width="14.140625" customWidth="1"/>
    <col min="6136" max="6136" width="10.85546875" customWidth="1"/>
    <col min="6137" max="6137" width="9.5703125" customWidth="1"/>
    <col min="6138" max="6138" width="10.5703125" customWidth="1"/>
    <col min="6139" max="6139" width="9.5703125" customWidth="1"/>
    <col min="6140" max="6140" width="9.85546875" customWidth="1"/>
    <col min="6141" max="6141" width="26.5703125" customWidth="1"/>
    <col min="6142" max="6142" width="14.140625" bestFit="1" customWidth="1"/>
    <col min="6386" max="6386" width="29.7109375" customWidth="1"/>
    <col min="6387" max="6387" width="33.5703125" customWidth="1"/>
    <col min="6388" max="6388" width="5.7109375" customWidth="1"/>
    <col min="6389" max="6389" width="10.5703125" customWidth="1"/>
    <col min="6390" max="6390" width="9.85546875" customWidth="1"/>
    <col min="6391" max="6391" width="14.140625" customWidth="1"/>
    <col min="6392" max="6392" width="10.85546875" customWidth="1"/>
    <col min="6393" max="6393" width="9.5703125" customWidth="1"/>
    <col min="6394" max="6394" width="10.5703125" customWidth="1"/>
    <col min="6395" max="6395" width="9.5703125" customWidth="1"/>
    <col min="6396" max="6396" width="9.85546875" customWidth="1"/>
    <col min="6397" max="6397" width="26.5703125" customWidth="1"/>
    <col min="6398" max="6398" width="14.140625" bestFit="1" customWidth="1"/>
    <col min="6642" max="6642" width="29.7109375" customWidth="1"/>
    <col min="6643" max="6643" width="33.5703125" customWidth="1"/>
    <col min="6644" max="6644" width="5.7109375" customWidth="1"/>
    <col min="6645" max="6645" width="10.5703125" customWidth="1"/>
    <col min="6646" max="6646" width="9.85546875" customWidth="1"/>
    <col min="6647" max="6647" width="14.140625" customWidth="1"/>
    <col min="6648" max="6648" width="10.85546875" customWidth="1"/>
    <col min="6649" max="6649" width="9.5703125" customWidth="1"/>
    <col min="6650" max="6650" width="10.5703125" customWidth="1"/>
    <col min="6651" max="6651" width="9.5703125" customWidth="1"/>
    <col min="6652" max="6652" width="9.85546875" customWidth="1"/>
    <col min="6653" max="6653" width="26.5703125" customWidth="1"/>
    <col min="6654" max="6654" width="14.140625" bestFit="1" customWidth="1"/>
    <col min="6898" max="6898" width="29.7109375" customWidth="1"/>
    <col min="6899" max="6899" width="33.5703125" customWidth="1"/>
    <col min="6900" max="6900" width="5.7109375" customWidth="1"/>
    <col min="6901" max="6901" width="10.5703125" customWidth="1"/>
    <col min="6902" max="6902" width="9.85546875" customWidth="1"/>
    <col min="6903" max="6903" width="14.140625" customWidth="1"/>
    <col min="6904" max="6904" width="10.85546875" customWidth="1"/>
    <col min="6905" max="6905" width="9.5703125" customWidth="1"/>
    <col min="6906" max="6906" width="10.5703125" customWidth="1"/>
    <col min="6907" max="6907" width="9.5703125" customWidth="1"/>
    <col min="6908" max="6908" width="9.85546875" customWidth="1"/>
    <col min="6909" max="6909" width="26.5703125" customWidth="1"/>
    <col min="6910" max="6910" width="14.140625" bestFit="1" customWidth="1"/>
    <col min="7154" max="7154" width="29.7109375" customWidth="1"/>
    <col min="7155" max="7155" width="33.5703125" customWidth="1"/>
    <col min="7156" max="7156" width="5.7109375" customWidth="1"/>
    <col min="7157" max="7157" width="10.5703125" customWidth="1"/>
    <col min="7158" max="7158" width="9.85546875" customWidth="1"/>
    <col min="7159" max="7159" width="14.140625" customWidth="1"/>
    <col min="7160" max="7160" width="10.85546875" customWidth="1"/>
    <col min="7161" max="7161" width="9.5703125" customWidth="1"/>
    <col min="7162" max="7162" width="10.5703125" customWidth="1"/>
    <col min="7163" max="7163" width="9.5703125" customWidth="1"/>
    <col min="7164" max="7164" width="9.85546875" customWidth="1"/>
    <col min="7165" max="7165" width="26.5703125" customWidth="1"/>
    <col min="7166" max="7166" width="14.140625" bestFit="1" customWidth="1"/>
    <col min="7410" max="7410" width="29.7109375" customWidth="1"/>
    <col min="7411" max="7411" width="33.5703125" customWidth="1"/>
    <col min="7412" max="7412" width="5.7109375" customWidth="1"/>
    <col min="7413" max="7413" width="10.5703125" customWidth="1"/>
    <col min="7414" max="7414" width="9.85546875" customWidth="1"/>
    <col min="7415" max="7415" width="14.140625" customWidth="1"/>
    <col min="7416" max="7416" width="10.85546875" customWidth="1"/>
    <col min="7417" max="7417" width="9.5703125" customWidth="1"/>
    <col min="7418" max="7418" width="10.5703125" customWidth="1"/>
    <col min="7419" max="7419" width="9.5703125" customWidth="1"/>
    <col min="7420" max="7420" width="9.85546875" customWidth="1"/>
    <col min="7421" max="7421" width="26.5703125" customWidth="1"/>
    <col min="7422" max="7422" width="14.140625" bestFit="1" customWidth="1"/>
    <col min="7666" max="7666" width="29.7109375" customWidth="1"/>
    <col min="7667" max="7667" width="33.5703125" customWidth="1"/>
    <col min="7668" max="7668" width="5.7109375" customWidth="1"/>
    <col min="7669" max="7669" width="10.5703125" customWidth="1"/>
    <col min="7670" max="7670" width="9.85546875" customWidth="1"/>
    <col min="7671" max="7671" width="14.140625" customWidth="1"/>
    <col min="7672" max="7672" width="10.85546875" customWidth="1"/>
    <col min="7673" max="7673" width="9.5703125" customWidth="1"/>
    <col min="7674" max="7674" width="10.5703125" customWidth="1"/>
    <col min="7675" max="7675" width="9.5703125" customWidth="1"/>
    <col min="7676" max="7676" width="9.85546875" customWidth="1"/>
    <col min="7677" max="7677" width="26.5703125" customWidth="1"/>
    <col min="7678" max="7678" width="14.140625" bestFit="1" customWidth="1"/>
    <col min="7922" max="7922" width="29.7109375" customWidth="1"/>
    <col min="7923" max="7923" width="33.5703125" customWidth="1"/>
    <col min="7924" max="7924" width="5.7109375" customWidth="1"/>
    <col min="7925" max="7925" width="10.5703125" customWidth="1"/>
    <col min="7926" max="7926" width="9.85546875" customWidth="1"/>
    <col min="7927" max="7927" width="14.140625" customWidth="1"/>
    <col min="7928" max="7928" width="10.85546875" customWidth="1"/>
    <col min="7929" max="7929" width="9.5703125" customWidth="1"/>
    <col min="7930" max="7930" width="10.5703125" customWidth="1"/>
    <col min="7931" max="7931" width="9.5703125" customWidth="1"/>
    <col min="7932" max="7932" width="9.85546875" customWidth="1"/>
    <col min="7933" max="7933" width="26.5703125" customWidth="1"/>
    <col min="7934" max="7934" width="14.140625" bestFit="1" customWidth="1"/>
    <col min="8178" max="8178" width="29.7109375" customWidth="1"/>
    <col min="8179" max="8179" width="33.5703125" customWidth="1"/>
    <col min="8180" max="8180" width="5.7109375" customWidth="1"/>
    <col min="8181" max="8181" width="10.5703125" customWidth="1"/>
    <col min="8182" max="8182" width="9.85546875" customWidth="1"/>
    <col min="8183" max="8183" width="14.140625" customWidth="1"/>
    <col min="8184" max="8184" width="10.85546875" customWidth="1"/>
    <col min="8185" max="8185" width="9.5703125" customWidth="1"/>
    <col min="8186" max="8186" width="10.5703125" customWidth="1"/>
    <col min="8187" max="8187" width="9.5703125" customWidth="1"/>
    <col min="8188" max="8188" width="9.85546875" customWidth="1"/>
    <col min="8189" max="8189" width="26.5703125" customWidth="1"/>
    <col min="8190" max="8190" width="14.140625" bestFit="1" customWidth="1"/>
    <col min="8434" max="8434" width="29.7109375" customWidth="1"/>
    <col min="8435" max="8435" width="33.5703125" customWidth="1"/>
    <col min="8436" max="8436" width="5.7109375" customWidth="1"/>
    <col min="8437" max="8437" width="10.5703125" customWidth="1"/>
    <col min="8438" max="8438" width="9.85546875" customWidth="1"/>
    <col min="8439" max="8439" width="14.140625" customWidth="1"/>
    <col min="8440" max="8440" width="10.85546875" customWidth="1"/>
    <col min="8441" max="8441" width="9.5703125" customWidth="1"/>
    <col min="8442" max="8442" width="10.5703125" customWidth="1"/>
    <col min="8443" max="8443" width="9.5703125" customWidth="1"/>
    <col min="8444" max="8444" width="9.85546875" customWidth="1"/>
    <col min="8445" max="8445" width="26.5703125" customWidth="1"/>
    <col min="8446" max="8446" width="14.140625" bestFit="1" customWidth="1"/>
    <col min="8690" max="8690" width="29.7109375" customWidth="1"/>
    <col min="8691" max="8691" width="33.5703125" customWidth="1"/>
    <col min="8692" max="8692" width="5.7109375" customWidth="1"/>
    <col min="8693" max="8693" width="10.5703125" customWidth="1"/>
    <col min="8694" max="8694" width="9.85546875" customWidth="1"/>
    <col min="8695" max="8695" width="14.140625" customWidth="1"/>
    <col min="8696" max="8696" width="10.85546875" customWidth="1"/>
    <col min="8697" max="8697" width="9.5703125" customWidth="1"/>
    <col min="8698" max="8698" width="10.5703125" customWidth="1"/>
    <col min="8699" max="8699" width="9.5703125" customWidth="1"/>
    <col min="8700" max="8700" width="9.85546875" customWidth="1"/>
    <col min="8701" max="8701" width="26.5703125" customWidth="1"/>
    <col min="8702" max="8702" width="14.140625" bestFit="1" customWidth="1"/>
    <col min="8946" max="8946" width="29.7109375" customWidth="1"/>
    <col min="8947" max="8947" width="33.5703125" customWidth="1"/>
    <col min="8948" max="8948" width="5.7109375" customWidth="1"/>
    <col min="8949" max="8949" width="10.5703125" customWidth="1"/>
    <col min="8950" max="8950" width="9.85546875" customWidth="1"/>
    <col min="8951" max="8951" width="14.140625" customWidth="1"/>
    <col min="8952" max="8952" width="10.85546875" customWidth="1"/>
    <col min="8953" max="8953" width="9.5703125" customWidth="1"/>
    <col min="8954" max="8954" width="10.5703125" customWidth="1"/>
    <col min="8955" max="8955" width="9.5703125" customWidth="1"/>
    <col min="8956" max="8956" width="9.85546875" customWidth="1"/>
    <col min="8957" max="8957" width="26.5703125" customWidth="1"/>
    <col min="8958" max="8958" width="14.140625" bestFit="1" customWidth="1"/>
    <col min="9202" max="9202" width="29.7109375" customWidth="1"/>
    <col min="9203" max="9203" width="33.5703125" customWidth="1"/>
    <col min="9204" max="9204" width="5.7109375" customWidth="1"/>
    <col min="9205" max="9205" width="10.5703125" customWidth="1"/>
    <col min="9206" max="9206" width="9.85546875" customWidth="1"/>
    <col min="9207" max="9207" width="14.140625" customWidth="1"/>
    <col min="9208" max="9208" width="10.85546875" customWidth="1"/>
    <col min="9209" max="9209" width="9.5703125" customWidth="1"/>
    <col min="9210" max="9210" width="10.5703125" customWidth="1"/>
    <col min="9211" max="9211" width="9.5703125" customWidth="1"/>
    <col min="9212" max="9212" width="9.85546875" customWidth="1"/>
    <col min="9213" max="9213" width="26.5703125" customWidth="1"/>
    <col min="9214" max="9214" width="14.140625" bestFit="1" customWidth="1"/>
    <col min="9458" max="9458" width="29.7109375" customWidth="1"/>
    <col min="9459" max="9459" width="33.5703125" customWidth="1"/>
    <col min="9460" max="9460" width="5.7109375" customWidth="1"/>
    <col min="9461" max="9461" width="10.5703125" customWidth="1"/>
    <col min="9462" max="9462" width="9.85546875" customWidth="1"/>
    <col min="9463" max="9463" width="14.140625" customWidth="1"/>
    <col min="9464" max="9464" width="10.85546875" customWidth="1"/>
    <col min="9465" max="9465" width="9.5703125" customWidth="1"/>
    <col min="9466" max="9466" width="10.5703125" customWidth="1"/>
    <col min="9467" max="9467" width="9.5703125" customWidth="1"/>
    <col min="9468" max="9468" width="9.85546875" customWidth="1"/>
    <col min="9469" max="9469" width="26.5703125" customWidth="1"/>
    <col min="9470" max="9470" width="14.140625" bestFit="1" customWidth="1"/>
    <col min="9714" max="9714" width="29.7109375" customWidth="1"/>
    <col min="9715" max="9715" width="33.5703125" customWidth="1"/>
    <col min="9716" max="9716" width="5.7109375" customWidth="1"/>
    <col min="9717" max="9717" width="10.5703125" customWidth="1"/>
    <col min="9718" max="9718" width="9.85546875" customWidth="1"/>
    <col min="9719" max="9719" width="14.140625" customWidth="1"/>
    <col min="9720" max="9720" width="10.85546875" customWidth="1"/>
    <col min="9721" max="9721" width="9.5703125" customWidth="1"/>
    <col min="9722" max="9722" width="10.5703125" customWidth="1"/>
    <col min="9723" max="9723" width="9.5703125" customWidth="1"/>
    <col min="9724" max="9724" width="9.85546875" customWidth="1"/>
    <col min="9725" max="9725" width="26.5703125" customWidth="1"/>
    <col min="9726" max="9726" width="14.140625" bestFit="1" customWidth="1"/>
    <col min="9970" max="9970" width="29.7109375" customWidth="1"/>
    <col min="9971" max="9971" width="33.5703125" customWidth="1"/>
    <col min="9972" max="9972" width="5.7109375" customWidth="1"/>
    <col min="9973" max="9973" width="10.5703125" customWidth="1"/>
    <col min="9974" max="9974" width="9.85546875" customWidth="1"/>
    <col min="9975" max="9975" width="14.140625" customWidth="1"/>
    <col min="9976" max="9976" width="10.85546875" customWidth="1"/>
    <col min="9977" max="9977" width="9.5703125" customWidth="1"/>
    <col min="9978" max="9978" width="10.5703125" customWidth="1"/>
    <col min="9979" max="9979" width="9.5703125" customWidth="1"/>
    <col min="9980" max="9980" width="9.85546875" customWidth="1"/>
    <col min="9981" max="9981" width="26.5703125" customWidth="1"/>
    <col min="9982" max="9982" width="14.140625" bestFit="1" customWidth="1"/>
    <col min="10226" max="10226" width="29.7109375" customWidth="1"/>
    <col min="10227" max="10227" width="33.5703125" customWidth="1"/>
    <col min="10228" max="10228" width="5.7109375" customWidth="1"/>
    <col min="10229" max="10229" width="10.5703125" customWidth="1"/>
    <col min="10230" max="10230" width="9.85546875" customWidth="1"/>
    <col min="10231" max="10231" width="14.140625" customWidth="1"/>
    <col min="10232" max="10232" width="10.85546875" customWidth="1"/>
    <col min="10233" max="10233" width="9.5703125" customWidth="1"/>
    <col min="10234" max="10234" width="10.5703125" customWidth="1"/>
    <col min="10235" max="10235" width="9.5703125" customWidth="1"/>
    <col min="10236" max="10236" width="9.85546875" customWidth="1"/>
    <col min="10237" max="10237" width="26.5703125" customWidth="1"/>
    <col min="10238" max="10238" width="14.140625" bestFit="1" customWidth="1"/>
    <col min="10482" max="10482" width="29.7109375" customWidth="1"/>
    <col min="10483" max="10483" width="33.5703125" customWidth="1"/>
    <col min="10484" max="10484" width="5.7109375" customWidth="1"/>
    <col min="10485" max="10485" width="10.5703125" customWidth="1"/>
    <col min="10486" max="10486" width="9.85546875" customWidth="1"/>
    <col min="10487" max="10487" width="14.140625" customWidth="1"/>
    <col min="10488" max="10488" width="10.85546875" customWidth="1"/>
    <col min="10489" max="10489" width="9.5703125" customWidth="1"/>
    <col min="10490" max="10490" width="10.5703125" customWidth="1"/>
    <col min="10491" max="10491" width="9.5703125" customWidth="1"/>
    <col min="10492" max="10492" width="9.85546875" customWidth="1"/>
    <col min="10493" max="10493" width="26.5703125" customWidth="1"/>
    <col min="10494" max="10494" width="14.140625" bestFit="1" customWidth="1"/>
    <col min="10738" max="10738" width="29.7109375" customWidth="1"/>
    <col min="10739" max="10739" width="33.5703125" customWidth="1"/>
    <col min="10740" max="10740" width="5.7109375" customWidth="1"/>
    <col min="10741" max="10741" width="10.5703125" customWidth="1"/>
    <col min="10742" max="10742" width="9.85546875" customWidth="1"/>
    <col min="10743" max="10743" width="14.140625" customWidth="1"/>
    <col min="10744" max="10744" width="10.85546875" customWidth="1"/>
    <col min="10745" max="10745" width="9.5703125" customWidth="1"/>
    <col min="10746" max="10746" width="10.5703125" customWidth="1"/>
    <col min="10747" max="10747" width="9.5703125" customWidth="1"/>
    <col min="10748" max="10748" width="9.85546875" customWidth="1"/>
    <col min="10749" max="10749" width="26.5703125" customWidth="1"/>
    <col min="10750" max="10750" width="14.140625" bestFit="1" customWidth="1"/>
    <col min="10994" max="10994" width="29.7109375" customWidth="1"/>
    <col min="10995" max="10995" width="33.5703125" customWidth="1"/>
    <col min="10996" max="10996" width="5.7109375" customWidth="1"/>
    <col min="10997" max="10997" width="10.5703125" customWidth="1"/>
    <col min="10998" max="10998" width="9.85546875" customWidth="1"/>
    <col min="10999" max="10999" width="14.140625" customWidth="1"/>
    <col min="11000" max="11000" width="10.85546875" customWidth="1"/>
    <col min="11001" max="11001" width="9.5703125" customWidth="1"/>
    <col min="11002" max="11002" width="10.5703125" customWidth="1"/>
    <col min="11003" max="11003" width="9.5703125" customWidth="1"/>
    <col min="11004" max="11004" width="9.85546875" customWidth="1"/>
    <col min="11005" max="11005" width="26.5703125" customWidth="1"/>
    <col min="11006" max="11006" width="14.140625" bestFit="1" customWidth="1"/>
    <col min="11250" max="11250" width="29.7109375" customWidth="1"/>
    <col min="11251" max="11251" width="33.5703125" customWidth="1"/>
    <col min="11252" max="11252" width="5.7109375" customWidth="1"/>
    <col min="11253" max="11253" width="10.5703125" customWidth="1"/>
    <col min="11254" max="11254" width="9.85546875" customWidth="1"/>
    <col min="11255" max="11255" width="14.140625" customWidth="1"/>
    <col min="11256" max="11256" width="10.85546875" customWidth="1"/>
    <col min="11257" max="11257" width="9.5703125" customWidth="1"/>
    <col min="11258" max="11258" width="10.5703125" customWidth="1"/>
    <col min="11259" max="11259" width="9.5703125" customWidth="1"/>
    <col min="11260" max="11260" width="9.85546875" customWidth="1"/>
    <col min="11261" max="11261" width="26.5703125" customWidth="1"/>
    <col min="11262" max="11262" width="14.140625" bestFit="1" customWidth="1"/>
    <col min="11506" max="11506" width="29.7109375" customWidth="1"/>
    <col min="11507" max="11507" width="33.5703125" customWidth="1"/>
    <col min="11508" max="11508" width="5.7109375" customWidth="1"/>
    <col min="11509" max="11509" width="10.5703125" customWidth="1"/>
    <col min="11510" max="11510" width="9.85546875" customWidth="1"/>
    <col min="11511" max="11511" width="14.140625" customWidth="1"/>
    <col min="11512" max="11512" width="10.85546875" customWidth="1"/>
    <col min="11513" max="11513" width="9.5703125" customWidth="1"/>
    <col min="11514" max="11514" width="10.5703125" customWidth="1"/>
    <col min="11515" max="11515" width="9.5703125" customWidth="1"/>
    <col min="11516" max="11516" width="9.85546875" customWidth="1"/>
    <col min="11517" max="11517" width="26.5703125" customWidth="1"/>
    <col min="11518" max="11518" width="14.140625" bestFit="1" customWidth="1"/>
    <col min="11762" max="11762" width="29.7109375" customWidth="1"/>
    <col min="11763" max="11763" width="33.5703125" customWidth="1"/>
    <col min="11764" max="11764" width="5.7109375" customWidth="1"/>
    <col min="11765" max="11765" width="10.5703125" customWidth="1"/>
    <col min="11766" max="11766" width="9.85546875" customWidth="1"/>
    <col min="11767" max="11767" width="14.140625" customWidth="1"/>
    <col min="11768" max="11768" width="10.85546875" customWidth="1"/>
    <col min="11769" max="11769" width="9.5703125" customWidth="1"/>
    <col min="11770" max="11770" width="10.5703125" customWidth="1"/>
    <col min="11771" max="11771" width="9.5703125" customWidth="1"/>
    <col min="11772" max="11772" width="9.85546875" customWidth="1"/>
    <col min="11773" max="11773" width="26.5703125" customWidth="1"/>
    <col min="11774" max="11774" width="14.140625" bestFit="1" customWidth="1"/>
    <col min="12018" max="12018" width="29.7109375" customWidth="1"/>
    <col min="12019" max="12019" width="33.5703125" customWidth="1"/>
    <col min="12020" max="12020" width="5.7109375" customWidth="1"/>
    <col min="12021" max="12021" width="10.5703125" customWidth="1"/>
    <col min="12022" max="12022" width="9.85546875" customWidth="1"/>
    <col min="12023" max="12023" width="14.140625" customWidth="1"/>
    <col min="12024" max="12024" width="10.85546875" customWidth="1"/>
    <col min="12025" max="12025" width="9.5703125" customWidth="1"/>
    <col min="12026" max="12026" width="10.5703125" customWidth="1"/>
    <col min="12027" max="12027" width="9.5703125" customWidth="1"/>
    <col min="12028" max="12028" width="9.85546875" customWidth="1"/>
    <col min="12029" max="12029" width="26.5703125" customWidth="1"/>
    <col min="12030" max="12030" width="14.140625" bestFit="1" customWidth="1"/>
    <col min="12274" max="12274" width="29.7109375" customWidth="1"/>
    <col min="12275" max="12275" width="33.5703125" customWidth="1"/>
    <col min="12276" max="12276" width="5.7109375" customWidth="1"/>
    <col min="12277" max="12277" width="10.5703125" customWidth="1"/>
    <col min="12278" max="12278" width="9.85546875" customWidth="1"/>
    <col min="12279" max="12279" width="14.140625" customWidth="1"/>
    <col min="12280" max="12280" width="10.85546875" customWidth="1"/>
    <col min="12281" max="12281" width="9.5703125" customWidth="1"/>
    <col min="12282" max="12282" width="10.5703125" customWidth="1"/>
    <col min="12283" max="12283" width="9.5703125" customWidth="1"/>
    <col min="12284" max="12284" width="9.85546875" customWidth="1"/>
    <col min="12285" max="12285" width="26.5703125" customWidth="1"/>
    <col min="12286" max="12286" width="14.140625" bestFit="1" customWidth="1"/>
    <col min="12530" max="12530" width="29.7109375" customWidth="1"/>
    <col min="12531" max="12531" width="33.5703125" customWidth="1"/>
    <col min="12532" max="12532" width="5.7109375" customWidth="1"/>
    <col min="12533" max="12533" width="10.5703125" customWidth="1"/>
    <col min="12534" max="12534" width="9.85546875" customWidth="1"/>
    <col min="12535" max="12535" width="14.140625" customWidth="1"/>
    <col min="12536" max="12536" width="10.85546875" customWidth="1"/>
    <col min="12537" max="12537" width="9.5703125" customWidth="1"/>
    <col min="12538" max="12538" width="10.5703125" customWidth="1"/>
    <col min="12539" max="12539" width="9.5703125" customWidth="1"/>
    <col min="12540" max="12540" width="9.85546875" customWidth="1"/>
    <col min="12541" max="12541" width="26.5703125" customWidth="1"/>
    <col min="12542" max="12542" width="14.140625" bestFit="1" customWidth="1"/>
    <col min="12786" max="12786" width="29.7109375" customWidth="1"/>
    <col min="12787" max="12787" width="33.5703125" customWidth="1"/>
    <col min="12788" max="12788" width="5.7109375" customWidth="1"/>
    <col min="12789" max="12789" width="10.5703125" customWidth="1"/>
    <col min="12790" max="12790" width="9.85546875" customWidth="1"/>
    <col min="12791" max="12791" width="14.140625" customWidth="1"/>
    <col min="12792" max="12792" width="10.85546875" customWidth="1"/>
    <col min="12793" max="12793" width="9.5703125" customWidth="1"/>
    <col min="12794" max="12794" width="10.5703125" customWidth="1"/>
    <col min="12795" max="12795" width="9.5703125" customWidth="1"/>
    <col min="12796" max="12796" width="9.85546875" customWidth="1"/>
    <col min="12797" max="12797" width="26.5703125" customWidth="1"/>
    <col min="12798" max="12798" width="14.140625" bestFit="1" customWidth="1"/>
    <col min="13042" max="13042" width="29.7109375" customWidth="1"/>
    <col min="13043" max="13043" width="33.5703125" customWidth="1"/>
    <col min="13044" max="13044" width="5.7109375" customWidth="1"/>
    <col min="13045" max="13045" width="10.5703125" customWidth="1"/>
    <col min="13046" max="13046" width="9.85546875" customWidth="1"/>
    <col min="13047" max="13047" width="14.140625" customWidth="1"/>
    <col min="13048" max="13048" width="10.85546875" customWidth="1"/>
    <col min="13049" max="13049" width="9.5703125" customWidth="1"/>
    <col min="13050" max="13050" width="10.5703125" customWidth="1"/>
    <col min="13051" max="13051" width="9.5703125" customWidth="1"/>
    <col min="13052" max="13052" width="9.85546875" customWidth="1"/>
    <col min="13053" max="13053" width="26.5703125" customWidth="1"/>
    <col min="13054" max="13054" width="14.140625" bestFit="1" customWidth="1"/>
    <col min="13298" max="13298" width="29.7109375" customWidth="1"/>
    <col min="13299" max="13299" width="33.5703125" customWidth="1"/>
    <col min="13300" max="13300" width="5.7109375" customWidth="1"/>
    <col min="13301" max="13301" width="10.5703125" customWidth="1"/>
    <col min="13302" max="13302" width="9.85546875" customWidth="1"/>
    <col min="13303" max="13303" width="14.140625" customWidth="1"/>
    <col min="13304" max="13304" width="10.85546875" customWidth="1"/>
    <col min="13305" max="13305" width="9.5703125" customWidth="1"/>
    <col min="13306" max="13306" width="10.5703125" customWidth="1"/>
    <col min="13307" max="13307" width="9.5703125" customWidth="1"/>
    <col min="13308" max="13308" width="9.85546875" customWidth="1"/>
    <col min="13309" max="13309" width="26.5703125" customWidth="1"/>
    <col min="13310" max="13310" width="14.140625" bestFit="1" customWidth="1"/>
    <col min="13554" max="13554" width="29.7109375" customWidth="1"/>
    <col min="13555" max="13555" width="33.5703125" customWidth="1"/>
    <col min="13556" max="13556" width="5.7109375" customWidth="1"/>
    <col min="13557" max="13557" width="10.5703125" customWidth="1"/>
    <col min="13558" max="13558" width="9.85546875" customWidth="1"/>
    <col min="13559" max="13559" width="14.140625" customWidth="1"/>
    <col min="13560" max="13560" width="10.85546875" customWidth="1"/>
    <col min="13561" max="13561" width="9.5703125" customWidth="1"/>
    <col min="13562" max="13562" width="10.5703125" customWidth="1"/>
    <col min="13563" max="13563" width="9.5703125" customWidth="1"/>
    <col min="13564" max="13564" width="9.85546875" customWidth="1"/>
    <col min="13565" max="13565" width="26.5703125" customWidth="1"/>
    <col min="13566" max="13566" width="14.140625" bestFit="1" customWidth="1"/>
    <col min="13810" max="13810" width="29.7109375" customWidth="1"/>
    <col min="13811" max="13811" width="33.5703125" customWidth="1"/>
    <col min="13812" max="13812" width="5.7109375" customWidth="1"/>
    <col min="13813" max="13813" width="10.5703125" customWidth="1"/>
    <col min="13814" max="13814" width="9.85546875" customWidth="1"/>
    <col min="13815" max="13815" width="14.140625" customWidth="1"/>
    <col min="13816" max="13816" width="10.85546875" customWidth="1"/>
    <col min="13817" max="13817" width="9.5703125" customWidth="1"/>
    <col min="13818" max="13818" width="10.5703125" customWidth="1"/>
    <col min="13819" max="13819" width="9.5703125" customWidth="1"/>
    <col min="13820" max="13820" width="9.85546875" customWidth="1"/>
    <col min="13821" max="13821" width="26.5703125" customWidth="1"/>
    <col min="13822" max="13822" width="14.140625" bestFit="1" customWidth="1"/>
    <col min="14066" max="14066" width="29.7109375" customWidth="1"/>
    <col min="14067" max="14067" width="33.5703125" customWidth="1"/>
    <col min="14068" max="14068" width="5.7109375" customWidth="1"/>
    <col min="14069" max="14069" width="10.5703125" customWidth="1"/>
    <col min="14070" max="14070" width="9.85546875" customWidth="1"/>
    <col min="14071" max="14071" width="14.140625" customWidth="1"/>
    <col min="14072" max="14072" width="10.85546875" customWidth="1"/>
    <col min="14073" max="14073" width="9.5703125" customWidth="1"/>
    <col min="14074" max="14074" width="10.5703125" customWidth="1"/>
    <col min="14075" max="14075" width="9.5703125" customWidth="1"/>
    <col min="14076" max="14076" width="9.85546875" customWidth="1"/>
    <col min="14077" max="14077" width="26.5703125" customWidth="1"/>
    <col min="14078" max="14078" width="14.140625" bestFit="1" customWidth="1"/>
    <col min="14322" max="14322" width="29.7109375" customWidth="1"/>
    <col min="14323" max="14323" width="33.5703125" customWidth="1"/>
    <col min="14324" max="14324" width="5.7109375" customWidth="1"/>
    <col min="14325" max="14325" width="10.5703125" customWidth="1"/>
    <col min="14326" max="14326" width="9.85546875" customWidth="1"/>
    <col min="14327" max="14327" width="14.140625" customWidth="1"/>
    <col min="14328" max="14328" width="10.85546875" customWidth="1"/>
    <col min="14329" max="14329" width="9.5703125" customWidth="1"/>
    <col min="14330" max="14330" width="10.5703125" customWidth="1"/>
    <col min="14331" max="14331" width="9.5703125" customWidth="1"/>
    <col min="14332" max="14332" width="9.85546875" customWidth="1"/>
    <col min="14333" max="14333" width="26.5703125" customWidth="1"/>
    <col min="14334" max="14334" width="14.140625" bestFit="1" customWidth="1"/>
    <col min="14578" max="14578" width="29.7109375" customWidth="1"/>
    <col min="14579" max="14579" width="33.5703125" customWidth="1"/>
    <col min="14580" max="14580" width="5.7109375" customWidth="1"/>
    <col min="14581" max="14581" width="10.5703125" customWidth="1"/>
    <col min="14582" max="14582" width="9.85546875" customWidth="1"/>
    <col min="14583" max="14583" width="14.140625" customWidth="1"/>
    <col min="14584" max="14584" width="10.85546875" customWidth="1"/>
    <col min="14585" max="14585" width="9.5703125" customWidth="1"/>
    <col min="14586" max="14586" width="10.5703125" customWidth="1"/>
    <col min="14587" max="14587" width="9.5703125" customWidth="1"/>
    <col min="14588" max="14588" width="9.85546875" customWidth="1"/>
    <col min="14589" max="14589" width="26.5703125" customWidth="1"/>
    <col min="14590" max="14590" width="14.140625" bestFit="1" customWidth="1"/>
    <col min="14834" max="14834" width="29.7109375" customWidth="1"/>
    <col min="14835" max="14835" width="33.5703125" customWidth="1"/>
    <col min="14836" max="14836" width="5.7109375" customWidth="1"/>
    <col min="14837" max="14837" width="10.5703125" customWidth="1"/>
    <col min="14838" max="14838" width="9.85546875" customWidth="1"/>
    <col min="14839" max="14839" width="14.140625" customWidth="1"/>
    <col min="14840" max="14840" width="10.85546875" customWidth="1"/>
    <col min="14841" max="14841" width="9.5703125" customWidth="1"/>
    <col min="14842" max="14842" width="10.5703125" customWidth="1"/>
    <col min="14843" max="14843" width="9.5703125" customWidth="1"/>
    <col min="14844" max="14844" width="9.85546875" customWidth="1"/>
    <col min="14845" max="14845" width="26.5703125" customWidth="1"/>
    <col min="14846" max="14846" width="14.140625" bestFit="1" customWidth="1"/>
    <col min="15090" max="15090" width="29.7109375" customWidth="1"/>
    <col min="15091" max="15091" width="33.5703125" customWidth="1"/>
    <col min="15092" max="15092" width="5.7109375" customWidth="1"/>
    <col min="15093" max="15093" width="10.5703125" customWidth="1"/>
    <col min="15094" max="15094" width="9.85546875" customWidth="1"/>
    <col min="15095" max="15095" width="14.140625" customWidth="1"/>
    <col min="15096" max="15096" width="10.85546875" customWidth="1"/>
    <col min="15097" max="15097" width="9.5703125" customWidth="1"/>
    <col min="15098" max="15098" width="10.5703125" customWidth="1"/>
    <col min="15099" max="15099" width="9.5703125" customWidth="1"/>
    <col min="15100" max="15100" width="9.85546875" customWidth="1"/>
    <col min="15101" max="15101" width="26.5703125" customWidth="1"/>
    <col min="15102" max="15102" width="14.140625" bestFit="1" customWidth="1"/>
    <col min="15346" max="15346" width="29.7109375" customWidth="1"/>
    <col min="15347" max="15347" width="33.5703125" customWidth="1"/>
    <col min="15348" max="15348" width="5.7109375" customWidth="1"/>
    <col min="15349" max="15349" width="10.5703125" customWidth="1"/>
    <col min="15350" max="15350" width="9.85546875" customWidth="1"/>
    <col min="15351" max="15351" width="14.140625" customWidth="1"/>
    <col min="15352" max="15352" width="10.85546875" customWidth="1"/>
    <col min="15353" max="15353" width="9.5703125" customWidth="1"/>
    <col min="15354" max="15354" width="10.5703125" customWidth="1"/>
    <col min="15355" max="15355" width="9.5703125" customWidth="1"/>
    <col min="15356" max="15356" width="9.85546875" customWidth="1"/>
    <col min="15357" max="15357" width="26.5703125" customWidth="1"/>
    <col min="15358" max="15358" width="14.140625" bestFit="1" customWidth="1"/>
    <col min="15602" max="15602" width="29.7109375" customWidth="1"/>
    <col min="15603" max="15603" width="33.5703125" customWidth="1"/>
    <col min="15604" max="15604" width="5.7109375" customWidth="1"/>
    <col min="15605" max="15605" width="10.5703125" customWidth="1"/>
    <col min="15606" max="15606" width="9.85546875" customWidth="1"/>
    <col min="15607" max="15607" width="14.140625" customWidth="1"/>
    <col min="15608" max="15608" width="10.85546875" customWidth="1"/>
    <col min="15609" max="15609" width="9.5703125" customWidth="1"/>
    <col min="15610" max="15610" width="10.5703125" customWidth="1"/>
    <col min="15611" max="15611" width="9.5703125" customWidth="1"/>
    <col min="15612" max="15612" width="9.85546875" customWidth="1"/>
    <col min="15613" max="15613" width="26.5703125" customWidth="1"/>
    <col min="15614" max="15614" width="14.140625" bestFit="1" customWidth="1"/>
    <col min="15858" max="15858" width="29.7109375" customWidth="1"/>
    <col min="15859" max="15859" width="33.5703125" customWidth="1"/>
    <col min="15860" max="15860" width="5.7109375" customWidth="1"/>
    <col min="15861" max="15861" width="10.5703125" customWidth="1"/>
    <col min="15862" max="15862" width="9.85546875" customWidth="1"/>
    <col min="15863" max="15863" width="14.140625" customWidth="1"/>
    <col min="15864" max="15864" width="10.85546875" customWidth="1"/>
    <col min="15865" max="15865" width="9.5703125" customWidth="1"/>
    <col min="15866" max="15866" width="10.5703125" customWidth="1"/>
    <col min="15867" max="15867" width="9.5703125" customWidth="1"/>
    <col min="15868" max="15868" width="9.85546875" customWidth="1"/>
    <col min="15869" max="15869" width="26.5703125" customWidth="1"/>
    <col min="15870" max="15870" width="14.140625" bestFit="1" customWidth="1"/>
    <col min="16114" max="16114" width="29.7109375" customWidth="1"/>
    <col min="16115" max="16115" width="33.5703125" customWidth="1"/>
    <col min="16116" max="16116" width="5.7109375" customWidth="1"/>
    <col min="16117" max="16117" width="10.5703125" customWidth="1"/>
    <col min="16118" max="16118" width="9.85546875" customWidth="1"/>
    <col min="16119" max="16119" width="14.140625" customWidth="1"/>
    <col min="16120" max="16120" width="10.85546875" customWidth="1"/>
    <col min="16121" max="16121" width="9.5703125" customWidth="1"/>
    <col min="16122" max="16122" width="10.5703125" customWidth="1"/>
    <col min="16123" max="16123" width="9.5703125" customWidth="1"/>
    <col min="16124" max="16124" width="9.85546875" customWidth="1"/>
    <col min="16125" max="16125" width="26.5703125" customWidth="1"/>
    <col min="16126" max="16126" width="14.140625" bestFit="1" customWidth="1"/>
  </cols>
  <sheetData>
    <row r="1" spans="1:11" ht="15.75" x14ac:dyDescent="0.25">
      <c r="A1" s="1"/>
      <c r="B1" s="1"/>
      <c r="C1" s="2"/>
      <c r="D1" s="3"/>
      <c r="E1" s="4"/>
      <c r="F1" s="151" t="s">
        <v>0</v>
      </c>
      <c r="G1" s="151"/>
      <c r="H1" s="151"/>
      <c r="I1" s="151"/>
      <c r="J1" s="151"/>
      <c r="K1" s="151"/>
    </row>
    <row r="2" spans="1:11" ht="15.75" x14ac:dyDescent="0.25">
      <c r="A2" s="1"/>
      <c r="B2" s="1"/>
      <c r="C2" s="2"/>
      <c r="D2" s="3"/>
      <c r="E2" s="4"/>
      <c r="F2" s="152" t="s">
        <v>1</v>
      </c>
      <c r="G2" s="152"/>
      <c r="H2" s="152"/>
      <c r="I2" s="152"/>
      <c r="J2" s="152"/>
      <c r="K2" s="152"/>
    </row>
    <row r="3" spans="1:11" ht="15.75" x14ac:dyDescent="0.25">
      <c r="A3" s="1"/>
      <c r="B3" s="1"/>
      <c r="C3" s="2"/>
      <c r="D3" s="3"/>
      <c r="E3" s="4"/>
      <c r="F3" s="152" t="s">
        <v>2</v>
      </c>
      <c r="G3" s="152"/>
      <c r="H3" s="152"/>
      <c r="I3" s="152"/>
      <c r="J3" s="152"/>
      <c r="K3" s="152"/>
    </row>
    <row r="4" spans="1:11" ht="15.75" x14ac:dyDescent="0.25">
      <c r="A4" s="1"/>
      <c r="B4" s="153"/>
      <c r="C4" s="153"/>
      <c r="D4" s="153"/>
      <c r="E4" s="153"/>
      <c r="F4" s="154" t="s">
        <v>3</v>
      </c>
      <c r="G4" s="154"/>
      <c r="H4" s="154"/>
      <c r="I4" s="154"/>
      <c r="J4" s="154"/>
      <c r="K4" s="154"/>
    </row>
    <row r="5" spans="1:11" ht="18.75" x14ac:dyDescent="0.25">
      <c r="A5" s="6"/>
      <c r="B5" s="7"/>
      <c r="C5" s="8"/>
      <c r="D5" s="9"/>
      <c r="E5" s="10"/>
      <c r="F5" s="11"/>
      <c r="G5" s="12"/>
      <c r="H5" s="13"/>
      <c r="I5" s="13"/>
      <c r="J5" s="13"/>
      <c r="K5" s="13"/>
    </row>
    <row r="6" spans="1:11" ht="18.75" x14ac:dyDescent="0.25">
      <c r="A6" s="6"/>
      <c r="B6" s="7"/>
      <c r="C6" s="8"/>
      <c r="D6" s="9"/>
      <c r="E6" s="14"/>
      <c r="F6" s="155" t="s">
        <v>4</v>
      </c>
      <c r="G6" s="155"/>
      <c r="H6" s="155"/>
      <c r="I6" s="155"/>
      <c r="J6" s="13"/>
      <c r="K6" s="13"/>
    </row>
    <row r="7" spans="1:11" ht="31.5" customHeight="1" x14ac:dyDescent="0.25">
      <c r="A7" s="6"/>
      <c r="B7" s="7"/>
      <c r="C7" s="8"/>
      <c r="D7" s="9"/>
      <c r="E7" s="14"/>
      <c r="F7" s="164" t="s">
        <v>5</v>
      </c>
      <c r="G7" s="164"/>
      <c r="H7" s="164"/>
      <c r="I7" s="164"/>
      <c r="J7" s="164"/>
      <c r="K7" s="164"/>
    </row>
    <row r="8" spans="1:11" ht="18.75" x14ac:dyDescent="0.25">
      <c r="A8" s="6"/>
      <c r="B8" s="7"/>
      <c r="C8" s="8"/>
      <c r="D8" s="9"/>
      <c r="E8" s="14"/>
      <c r="F8" s="164" t="s">
        <v>6</v>
      </c>
      <c r="G8" s="164"/>
      <c r="H8" s="164"/>
      <c r="I8" s="164"/>
      <c r="J8" s="164"/>
      <c r="K8" s="164"/>
    </row>
    <row r="9" spans="1:11" ht="18.75" x14ac:dyDescent="0.25">
      <c r="A9" s="6"/>
      <c r="B9" s="7"/>
      <c r="C9" s="8"/>
      <c r="D9" s="9"/>
      <c r="E9" s="15"/>
      <c r="F9" s="16"/>
      <c r="G9" s="17"/>
      <c r="H9" s="18"/>
      <c r="I9" s="18"/>
      <c r="J9" s="18"/>
      <c r="K9" s="18"/>
    </row>
    <row r="10" spans="1:11" ht="15.75" x14ac:dyDescent="0.25">
      <c r="A10" s="19" t="s">
        <v>7</v>
      </c>
      <c r="B10" s="165" t="s">
        <v>461</v>
      </c>
      <c r="C10" s="165"/>
      <c r="D10" s="165"/>
      <c r="E10" s="165"/>
      <c r="F10" s="20" t="s">
        <v>8</v>
      </c>
      <c r="G10" s="157">
        <v>25689882</v>
      </c>
      <c r="H10" s="157"/>
      <c r="I10" s="157"/>
      <c r="J10" s="157"/>
      <c r="K10" s="157"/>
    </row>
    <row r="11" spans="1:11" ht="15.75" x14ac:dyDescent="0.25">
      <c r="A11" s="19" t="s">
        <v>9</v>
      </c>
      <c r="B11" s="165" t="s">
        <v>10</v>
      </c>
      <c r="C11" s="165"/>
      <c r="D11" s="165"/>
      <c r="E11" s="165"/>
      <c r="F11" s="20" t="s">
        <v>11</v>
      </c>
      <c r="G11" s="157">
        <v>3210800000</v>
      </c>
      <c r="H11" s="157"/>
      <c r="I11" s="157"/>
      <c r="J11" s="157"/>
      <c r="K11" s="157"/>
    </row>
    <row r="12" spans="1:11" ht="31.5" x14ac:dyDescent="0.25">
      <c r="A12" s="19" t="s">
        <v>12</v>
      </c>
      <c r="B12" s="156" t="s">
        <v>13</v>
      </c>
      <c r="C12" s="156"/>
      <c r="D12" s="156"/>
      <c r="E12" s="156"/>
      <c r="F12" s="20" t="s">
        <v>14</v>
      </c>
      <c r="G12" s="157">
        <v>150</v>
      </c>
      <c r="H12" s="157"/>
      <c r="I12" s="157"/>
      <c r="J12" s="157"/>
      <c r="K12" s="157"/>
    </row>
    <row r="13" spans="1:11" ht="15.75" x14ac:dyDescent="0.25">
      <c r="A13" s="19" t="s">
        <v>15</v>
      </c>
      <c r="B13" s="158"/>
      <c r="C13" s="159"/>
      <c r="D13" s="159"/>
      <c r="E13" s="160"/>
      <c r="F13" s="20" t="s">
        <v>17</v>
      </c>
      <c r="G13" s="161"/>
      <c r="H13" s="162"/>
      <c r="I13" s="162"/>
      <c r="J13" s="162"/>
      <c r="K13" s="163"/>
    </row>
    <row r="14" spans="1:11" ht="15.75" x14ac:dyDescent="0.25">
      <c r="A14" s="19"/>
      <c r="B14" s="171" t="s">
        <v>460</v>
      </c>
      <c r="C14" s="172"/>
      <c r="D14" s="172"/>
      <c r="E14" s="173"/>
      <c r="F14" s="21"/>
      <c r="G14" s="161" t="s">
        <v>56</v>
      </c>
      <c r="H14" s="162"/>
      <c r="I14" s="162"/>
      <c r="J14" s="162"/>
      <c r="K14" s="163"/>
    </row>
    <row r="15" spans="1:11" ht="15.75" x14ac:dyDescent="0.25">
      <c r="A15" s="19"/>
      <c r="B15" s="171" t="s">
        <v>57</v>
      </c>
      <c r="C15" s="172"/>
      <c r="D15" s="172"/>
      <c r="E15" s="173"/>
      <c r="F15" s="21"/>
      <c r="G15" s="161" t="s">
        <v>58</v>
      </c>
      <c r="H15" s="162"/>
      <c r="I15" s="162"/>
      <c r="J15" s="162"/>
      <c r="K15" s="163"/>
    </row>
    <row r="16" spans="1:11" ht="15.75" x14ac:dyDescent="0.25">
      <c r="A16" s="19"/>
      <c r="B16" s="158" t="s">
        <v>19</v>
      </c>
      <c r="C16" s="159"/>
      <c r="D16" s="159"/>
      <c r="E16" s="160"/>
      <c r="F16" s="21"/>
      <c r="G16" s="161" t="s">
        <v>20</v>
      </c>
      <c r="H16" s="162"/>
      <c r="I16" s="162"/>
      <c r="J16" s="162"/>
      <c r="K16" s="163"/>
    </row>
    <row r="17" spans="1:11" ht="33.6" customHeight="1" x14ac:dyDescent="0.25">
      <c r="A17" s="19"/>
      <c r="B17" s="158" t="s">
        <v>21</v>
      </c>
      <c r="C17" s="159"/>
      <c r="D17" s="159"/>
      <c r="E17" s="160"/>
      <c r="F17" s="21"/>
      <c r="G17" s="161" t="s">
        <v>22</v>
      </c>
      <c r="H17" s="162"/>
      <c r="I17" s="162"/>
      <c r="J17" s="162"/>
      <c r="K17" s="163"/>
    </row>
    <row r="18" spans="1:11" ht="15.75" x14ac:dyDescent="0.25">
      <c r="A18" s="19"/>
      <c r="B18" s="158" t="s">
        <v>23</v>
      </c>
      <c r="C18" s="159"/>
      <c r="D18" s="159"/>
      <c r="E18" s="160"/>
      <c r="F18" s="21"/>
      <c r="G18" s="161" t="s">
        <v>24</v>
      </c>
      <c r="H18" s="162"/>
      <c r="I18" s="162"/>
      <c r="J18" s="162"/>
      <c r="K18" s="163"/>
    </row>
    <row r="19" spans="1:11" ht="15.75" x14ac:dyDescent="0.25">
      <c r="A19" s="19"/>
      <c r="B19" s="158" t="s">
        <v>25</v>
      </c>
      <c r="C19" s="159"/>
      <c r="D19" s="159"/>
      <c r="E19" s="160"/>
      <c r="F19" s="21"/>
      <c r="G19" s="161" t="s">
        <v>26</v>
      </c>
      <c r="H19" s="162"/>
      <c r="I19" s="162"/>
      <c r="J19" s="162"/>
      <c r="K19" s="163"/>
    </row>
    <row r="20" spans="1:11" ht="15.75" x14ac:dyDescent="0.25">
      <c r="A20" s="19"/>
      <c r="B20" s="158" t="s">
        <v>27</v>
      </c>
      <c r="C20" s="159"/>
      <c r="D20" s="159"/>
      <c r="E20" s="160"/>
      <c r="F20" s="21"/>
      <c r="G20" s="161" t="s">
        <v>28</v>
      </c>
      <c r="H20" s="162"/>
      <c r="I20" s="162"/>
      <c r="J20" s="162"/>
      <c r="K20" s="163"/>
    </row>
    <row r="21" spans="1:11" ht="15.75" x14ac:dyDescent="0.25">
      <c r="A21" s="19"/>
      <c r="B21" s="158" t="s">
        <v>29</v>
      </c>
      <c r="C21" s="159"/>
      <c r="D21" s="159"/>
      <c r="E21" s="160"/>
      <c r="F21" s="21"/>
      <c r="G21" s="161" t="s">
        <v>30</v>
      </c>
      <c r="H21" s="162"/>
      <c r="I21" s="162"/>
      <c r="J21" s="162"/>
      <c r="K21" s="163"/>
    </row>
    <row r="22" spans="1:11" ht="15.75" x14ac:dyDescent="0.25">
      <c r="A22" s="19"/>
      <c r="B22" s="158" t="s">
        <v>31</v>
      </c>
      <c r="C22" s="159"/>
      <c r="D22" s="159"/>
      <c r="E22" s="160"/>
      <c r="F22" s="21"/>
      <c r="G22" s="161" t="s">
        <v>32</v>
      </c>
      <c r="H22" s="162"/>
      <c r="I22" s="162"/>
      <c r="J22" s="162"/>
      <c r="K22" s="163"/>
    </row>
    <row r="23" spans="1:11" ht="15.75" x14ac:dyDescent="0.25">
      <c r="A23" s="19"/>
      <c r="B23" s="158" t="s">
        <v>33</v>
      </c>
      <c r="C23" s="159"/>
      <c r="D23" s="159"/>
      <c r="E23" s="160"/>
      <c r="F23" s="21"/>
      <c r="G23" s="161" t="s">
        <v>34</v>
      </c>
      <c r="H23" s="162"/>
      <c r="I23" s="162"/>
      <c r="J23" s="162"/>
      <c r="K23" s="163"/>
    </row>
    <row r="24" spans="1:11" ht="15.75" x14ac:dyDescent="0.25">
      <c r="A24" s="19"/>
      <c r="B24" s="158" t="s">
        <v>35</v>
      </c>
      <c r="C24" s="159"/>
      <c r="D24" s="159"/>
      <c r="E24" s="160"/>
      <c r="F24" s="21"/>
      <c r="G24" s="161" t="s">
        <v>36</v>
      </c>
      <c r="H24" s="162"/>
      <c r="I24" s="162"/>
      <c r="J24" s="162"/>
      <c r="K24" s="163"/>
    </row>
    <row r="25" spans="1:11" ht="15.75" x14ac:dyDescent="0.25">
      <c r="A25" s="19"/>
      <c r="B25" s="158" t="s">
        <v>37</v>
      </c>
      <c r="C25" s="159"/>
      <c r="D25" s="159"/>
      <c r="E25" s="160"/>
      <c r="F25" s="21"/>
      <c r="G25" s="161" t="s">
        <v>38</v>
      </c>
      <c r="H25" s="162"/>
      <c r="I25" s="162"/>
      <c r="J25" s="162"/>
      <c r="K25" s="163"/>
    </row>
    <row r="26" spans="1:11" ht="45.6" customHeight="1" x14ac:dyDescent="0.25">
      <c r="A26" s="19"/>
      <c r="B26" s="158" t="s">
        <v>39</v>
      </c>
      <c r="C26" s="159"/>
      <c r="D26" s="159"/>
      <c r="E26" s="160"/>
      <c r="F26" s="21"/>
      <c r="G26" s="161" t="s">
        <v>40</v>
      </c>
      <c r="H26" s="162"/>
      <c r="I26" s="162"/>
      <c r="J26" s="162"/>
      <c r="K26" s="163"/>
    </row>
    <row r="27" spans="1:11" ht="15.75" x14ac:dyDescent="0.25">
      <c r="A27" s="19"/>
      <c r="B27" s="158" t="s">
        <v>41</v>
      </c>
      <c r="C27" s="159"/>
      <c r="D27" s="159"/>
      <c r="E27" s="160"/>
      <c r="F27" s="21"/>
      <c r="G27" s="161" t="s">
        <v>42</v>
      </c>
      <c r="H27" s="162"/>
      <c r="I27" s="162"/>
      <c r="J27" s="162"/>
      <c r="K27" s="163"/>
    </row>
    <row r="28" spans="1:11" ht="15.75" x14ac:dyDescent="0.25">
      <c r="A28" s="19"/>
      <c r="B28" s="166" t="s">
        <v>43</v>
      </c>
      <c r="C28" s="167"/>
      <c r="D28" s="167"/>
      <c r="E28" s="168"/>
      <c r="F28" s="21"/>
      <c r="G28" s="161" t="s">
        <v>44</v>
      </c>
      <c r="H28" s="162"/>
      <c r="I28" s="162"/>
      <c r="J28" s="162"/>
      <c r="K28" s="163"/>
    </row>
    <row r="29" spans="1:11" ht="15.75" x14ac:dyDescent="0.25">
      <c r="A29" s="19"/>
      <c r="B29" s="166" t="s">
        <v>45</v>
      </c>
      <c r="C29" s="167"/>
      <c r="D29" s="167"/>
      <c r="E29" s="168"/>
      <c r="F29" s="21"/>
      <c r="G29" s="161" t="s">
        <v>46</v>
      </c>
      <c r="H29" s="162"/>
      <c r="I29" s="162"/>
      <c r="J29" s="162"/>
      <c r="K29" s="163"/>
    </row>
    <row r="30" spans="1:11" ht="29.45" customHeight="1" x14ac:dyDescent="0.25">
      <c r="A30" s="19"/>
      <c r="B30" s="158" t="s">
        <v>47</v>
      </c>
      <c r="C30" s="169"/>
      <c r="D30" s="169"/>
      <c r="E30" s="170"/>
      <c r="F30" s="21"/>
      <c r="G30" s="161" t="s">
        <v>48</v>
      </c>
      <c r="H30" s="162"/>
      <c r="I30" s="162"/>
      <c r="J30" s="162"/>
      <c r="K30" s="163"/>
    </row>
    <row r="31" spans="1:11" ht="30.95" customHeight="1" x14ac:dyDescent="0.25">
      <c r="A31" s="19"/>
      <c r="B31" s="158" t="s">
        <v>16</v>
      </c>
      <c r="C31" s="159"/>
      <c r="D31" s="159"/>
      <c r="E31" s="160"/>
      <c r="F31" s="21"/>
      <c r="G31" s="161" t="s">
        <v>18</v>
      </c>
      <c r="H31" s="162"/>
      <c r="I31" s="162"/>
      <c r="J31" s="162"/>
      <c r="K31" s="163"/>
    </row>
    <row r="32" spans="1:11" ht="15.75" x14ac:dyDescent="0.25">
      <c r="A32" s="19"/>
      <c r="B32" s="158" t="s">
        <v>49</v>
      </c>
      <c r="C32" s="169"/>
      <c r="D32" s="169"/>
      <c r="E32" s="170"/>
      <c r="F32" s="21"/>
      <c r="G32" s="161" t="s">
        <v>50</v>
      </c>
      <c r="H32" s="162"/>
      <c r="I32" s="162"/>
      <c r="J32" s="162"/>
      <c r="K32" s="163"/>
    </row>
    <row r="33" spans="1:11" ht="15.75" x14ac:dyDescent="0.25">
      <c r="A33" s="19"/>
      <c r="B33" s="158" t="s">
        <v>51</v>
      </c>
      <c r="C33" s="169"/>
      <c r="D33" s="169"/>
      <c r="E33" s="170"/>
      <c r="F33" s="21"/>
      <c r="G33" s="161" t="s">
        <v>52</v>
      </c>
      <c r="H33" s="162"/>
      <c r="I33" s="162"/>
      <c r="J33" s="162"/>
      <c r="K33" s="163"/>
    </row>
    <row r="34" spans="1:11" ht="15.75" x14ac:dyDescent="0.25">
      <c r="A34" s="19"/>
      <c r="B34" s="171" t="s">
        <v>53</v>
      </c>
      <c r="C34" s="172"/>
      <c r="D34" s="172"/>
      <c r="E34" s="173"/>
      <c r="F34" s="21"/>
      <c r="G34" s="161" t="s">
        <v>54</v>
      </c>
      <c r="H34" s="162"/>
      <c r="I34" s="162"/>
      <c r="J34" s="162"/>
      <c r="K34" s="163"/>
    </row>
    <row r="35" spans="1:11" ht="15.75" x14ac:dyDescent="0.25">
      <c r="A35" s="19"/>
      <c r="B35" s="171" t="s">
        <v>55</v>
      </c>
      <c r="C35" s="172"/>
      <c r="D35" s="172"/>
      <c r="E35" s="173"/>
      <c r="F35" s="21"/>
      <c r="G35" s="161" t="s">
        <v>56</v>
      </c>
      <c r="H35" s="162"/>
      <c r="I35" s="162"/>
      <c r="J35" s="162"/>
      <c r="K35" s="163"/>
    </row>
    <row r="36" spans="1:11" ht="15.75" x14ac:dyDescent="0.25">
      <c r="A36" s="19"/>
      <c r="B36" s="171" t="s">
        <v>57</v>
      </c>
      <c r="C36" s="172"/>
      <c r="D36" s="172"/>
      <c r="E36" s="173"/>
      <c r="F36" s="21"/>
      <c r="G36" s="161" t="s">
        <v>58</v>
      </c>
      <c r="H36" s="162"/>
      <c r="I36" s="162"/>
      <c r="J36" s="162"/>
      <c r="K36" s="163"/>
    </row>
    <row r="37" spans="1:11" ht="15.75" x14ac:dyDescent="0.25">
      <c r="A37" s="19"/>
      <c r="B37" s="171" t="s">
        <v>59</v>
      </c>
      <c r="C37" s="172"/>
      <c r="D37" s="172"/>
      <c r="E37" s="173"/>
      <c r="F37" s="21"/>
      <c r="G37" s="161" t="s">
        <v>60</v>
      </c>
      <c r="H37" s="162"/>
      <c r="I37" s="162"/>
      <c r="J37" s="162"/>
      <c r="K37" s="163"/>
    </row>
    <row r="38" spans="1:11" ht="15.75" x14ac:dyDescent="0.25">
      <c r="A38" s="19"/>
      <c r="B38" s="171" t="s">
        <v>61</v>
      </c>
      <c r="C38" s="172"/>
      <c r="D38" s="172"/>
      <c r="E38" s="173"/>
      <c r="F38" s="21"/>
      <c r="G38" s="161" t="s">
        <v>62</v>
      </c>
      <c r="H38" s="162"/>
      <c r="I38" s="162"/>
      <c r="J38" s="162"/>
      <c r="K38" s="163"/>
    </row>
    <row r="39" spans="1:11" ht="15.75" x14ac:dyDescent="0.25">
      <c r="A39" s="19"/>
      <c r="B39" s="171" t="s">
        <v>63</v>
      </c>
      <c r="C39" s="172"/>
      <c r="D39" s="172"/>
      <c r="E39" s="173"/>
      <c r="F39" s="21"/>
      <c r="G39" s="161" t="s">
        <v>64</v>
      </c>
      <c r="H39" s="162"/>
      <c r="I39" s="162"/>
      <c r="J39" s="162"/>
      <c r="K39" s="163"/>
    </row>
    <row r="40" spans="1:11" ht="15.75" x14ac:dyDescent="0.25">
      <c r="A40" s="19"/>
      <c r="B40" s="171" t="s">
        <v>65</v>
      </c>
      <c r="C40" s="172"/>
      <c r="D40" s="172"/>
      <c r="E40" s="173"/>
      <c r="F40" s="21"/>
      <c r="G40" s="161" t="s">
        <v>66</v>
      </c>
      <c r="H40" s="162"/>
      <c r="I40" s="162"/>
      <c r="J40" s="162"/>
      <c r="K40" s="163"/>
    </row>
    <row r="41" spans="1:11" ht="15.75" x14ac:dyDescent="0.25">
      <c r="A41" s="19"/>
      <c r="B41" s="171" t="s">
        <v>67</v>
      </c>
      <c r="C41" s="172"/>
      <c r="D41" s="172"/>
      <c r="E41" s="173"/>
      <c r="F41" s="21"/>
      <c r="G41" s="161" t="s">
        <v>68</v>
      </c>
      <c r="H41" s="162"/>
      <c r="I41" s="162"/>
      <c r="J41" s="162"/>
      <c r="K41" s="163"/>
    </row>
    <row r="42" spans="1:11" ht="32.1" customHeight="1" x14ac:dyDescent="0.25">
      <c r="A42" s="19"/>
      <c r="B42" s="158" t="s">
        <v>69</v>
      </c>
      <c r="C42" s="169"/>
      <c r="D42" s="169"/>
      <c r="E42" s="170"/>
      <c r="F42" s="21"/>
      <c r="G42" s="161" t="s">
        <v>70</v>
      </c>
      <c r="H42" s="162"/>
      <c r="I42" s="162"/>
      <c r="J42" s="162"/>
      <c r="K42" s="163"/>
    </row>
    <row r="43" spans="1:11" ht="15.75" x14ac:dyDescent="0.25">
      <c r="A43" s="19"/>
      <c r="B43" s="171" t="s">
        <v>71</v>
      </c>
      <c r="C43" s="172"/>
      <c r="D43" s="172"/>
      <c r="E43" s="173"/>
      <c r="F43" s="21"/>
      <c r="G43" s="161" t="s">
        <v>72</v>
      </c>
      <c r="H43" s="162"/>
      <c r="I43" s="162"/>
      <c r="J43" s="162"/>
      <c r="K43" s="163"/>
    </row>
    <row r="44" spans="1:11" ht="32.450000000000003" customHeight="1" x14ac:dyDescent="0.25">
      <c r="A44" s="19"/>
      <c r="B44" s="158" t="s">
        <v>73</v>
      </c>
      <c r="C44" s="169"/>
      <c r="D44" s="169"/>
      <c r="E44" s="170"/>
      <c r="F44" s="21"/>
      <c r="G44" s="161" t="s">
        <v>74</v>
      </c>
      <c r="H44" s="162"/>
      <c r="I44" s="162"/>
      <c r="J44" s="162"/>
      <c r="K44" s="163"/>
    </row>
    <row r="45" spans="1:11" ht="15.75" x14ac:dyDescent="0.25">
      <c r="A45" s="19"/>
      <c r="B45" s="171" t="s">
        <v>75</v>
      </c>
      <c r="C45" s="172"/>
      <c r="D45" s="172"/>
      <c r="E45" s="173"/>
      <c r="F45" s="21"/>
      <c r="G45" s="161" t="s">
        <v>76</v>
      </c>
      <c r="H45" s="162"/>
      <c r="I45" s="162"/>
      <c r="J45" s="162"/>
      <c r="K45" s="163"/>
    </row>
    <row r="46" spans="1:11" ht="20.45" customHeight="1" x14ac:dyDescent="0.25">
      <c r="A46" s="19" t="s">
        <v>77</v>
      </c>
      <c r="B46" s="174"/>
      <c r="C46" s="174"/>
      <c r="D46" s="174"/>
      <c r="E46" s="174"/>
      <c r="F46" s="22"/>
      <c r="G46" s="23"/>
      <c r="H46" s="22"/>
      <c r="I46" s="22"/>
      <c r="J46" s="22"/>
      <c r="K46" s="24"/>
    </row>
    <row r="47" spans="1:11" ht="18.600000000000001" customHeight="1" x14ac:dyDescent="0.25">
      <c r="A47" s="19" t="s">
        <v>78</v>
      </c>
      <c r="B47" s="175">
        <v>466</v>
      </c>
      <c r="C47" s="176"/>
      <c r="D47" s="176"/>
      <c r="E47" s="177"/>
      <c r="F47" s="22"/>
      <c r="G47" s="23"/>
      <c r="H47" s="22"/>
      <c r="I47" s="25"/>
      <c r="J47" s="22"/>
      <c r="K47" s="24"/>
    </row>
    <row r="48" spans="1:11" ht="31.5" x14ac:dyDescent="0.25">
      <c r="A48" s="19" t="s">
        <v>79</v>
      </c>
      <c r="B48" s="174" t="s">
        <v>80</v>
      </c>
      <c r="C48" s="174"/>
      <c r="D48" s="174"/>
      <c r="E48" s="174"/>
      <c r="F48" s="22"/>
      <c r="G48" s="23"/>
      <c r="H48" s="22"/>
      <c r="I48" s="22"/>
      <c r="J48" s="22"/>
      <c r="K48" s="24"/>
    </row>
    <row r="49" spans="1:11" ht="15.6" customHeight="1" x14ac:dyDescent="0.25">
      <c r="A49" s="19" t="s">
        <v>81</v>
      </c>
      <c r="B49" s="178" t="s">
        <v>82</v>
      </c>
      <c r="C49" s="176"/>
      <c r="D49" s="176"/>
      <c r="E49" s="177"/>
      <c r="F49" s="22"/>
      <c r="G49" s="23"/>
      <c r="H49" s="22"/>
      <c r="I49" s="22"/>
      <c r="J49" s="22"/>
      <c r="K49" s="24"/>
    </row>
    <row r="50" spans="1:11" ht="15.75" x14ac:dyDescent="0.25">
      <c r="A50" s="26"/>
      <c r="B50" s="26"/>
      <c r="C50" s="27"/>
      <c r="D50" s="28"/>
      <c r="E50" s="29"/>
      <c r="F50" s="30"/>
      <c r="G50" s="23"/>
      <c r="H50" s="22"/>
      <c r="I50" s="22"/>
      <c r="J50" s="179"/>
      <c r="K50" s="180"/>
    </row>
    <row r="51" spans="1:11" x14ac:dyDescent="0.25">
      <c r="A51" s="181" t="s">
        <v>83</v>
      </c>
      <c r="B51" s="181"/>
      <c r="C51" s="181"/>
      <c r="D51" s="181"/>
      <c r="E51" s="181"/>
      <c r="F51" s="181"/>
      <c r="G51" s="181"/>
      <c r="H51" s="181"/>
      <c r="I51" s="181"/>
      <c r="J51" s="181"/>
      <c r="K51" s="181"/>
    </row>
    <row r="52" spans="1:11" x14ac:dyDescent="0.25">
      <c r="A52" s="181" t="s">
        <v>84</v>
      </c>
      <c r="B52" s="181"/>
      <c r="C52" s="181"/>
      <c r="D52" s="181"/>
      <c r="E52" s="181"/>
      <c r="F52" s="181"/>
      <c r="G52" s="181"/>
      <c r="H52" s="181"/>
      <c r="I52" s="181"/>
      <c r="J52" s="181"/>
      <c r="K52" s="181"/>
    </row>
    <row r="53" spans="1:11" ht="15.75" x14ac:dyDescent="0.25">
      <c r="A53" s="182" t="s">
        <v>85</v>
      </c>
      <c r="B53" s="182"/>
      <c r="C53" s="182"/>
      <c r="D53" s="182"/>
      <c r="E53" s="182"/>
      <c r="F53" s="182"/>
      <c r="G53" s="182"/>
      <c r="H53" s="182"/>
      <c r="I53" s="182"/>
      <c r="J53" s="182"/>
      <c r="K53" s="182"/>
    </row>
    <row r="54" spans="1:11" x14ac:dyDescent="0.25">
      <c r="A54" s="31"/>
      <c r="B54" s="31"/>
      <c r="C54" s="32"/>
      <c r="D54" s="33"/>
      <c r="E54" s="34"/>
      <c r="F54" s="31"/>
      <c r="G54" s="35"/>
      <c r="H54" s="31"/>
      <c r="I54" s="31"/>
      <c r="J54" s="22"/>
      <c r="K54" s="24"/>
    </row>
    <row r="55" spans="1:11" s="36" customFormat="1" ht="14.45" customHeight="1" x14ac:dyDescent="0.2">
      <c r="A55" s="183"/>
      <c r="B55" s="183"/>
      <c r="C55" s="184" t="s">
        <v>86</v>
      </c>
      <c r="D55" s="185" t="s">
        <v>451</v>
      </c>
      <c r="E55" s="186" t="s">
        <v>452</v>
      </c>
      <c r="F55" s="187" t="s">
        <v>453</v>
      </c>
      <c r="G55" s="188" t="s">
        <v>454</v>
      </c>
      <c r="H55" s="193" t="s">
        <v>87</v>
      </c>
      <c r="I55" s="193"/>
      <c r="J55" s="193"/>
      <c r="K55" s="193"/>
    </row>
    <row r="56" spans="1:11" s="36" customFormat="1" ht="27.6" customHeight="1" x14ac:dyDescent="0.2">
      <c r="A56" s="183"/>
      <c r="B56" s="183"/>
      <c r="C56" s="184"/>
      <c r="D56" s="185"/>
      <c r="E56" s="186"/>
      <c r="F56" s="187"/>
      <c r="G56" s="188"/>
      <c r="H56" s="37">
        <v>1</v>
      </c>
      <c r="I56" s="37">
        <v>2</v>
      </c>
      <c r="J56" s="37">
        <v>3</v>
      </c>
      <c r="K56" s="37">
        <v>4</v>
      </c>
    </row>
    <row r="57" spans="1:11" ht="15.75" x14ac:dyDescent="0.25">
      <c r="A57" s="194" t="s">
        <v>88</v>
      </c>
      <c r="B57" s="194"/>
      <c r="C57" s="194"/>
      <c r="D57" s="194"/>
      <c r="E57" s="194"/>
      <c r="F57" s="194"/>
      <c r="G57" s="194"/>
      <c r="H57" s="194"/>
      <c r="I57" s="194"/>
      <c r="J57" s="194"/>
      <c r="K57" s="195"/>
    </row>
    <row r="58" spans="1:11" ht="15.75" x14ac:dyDescent="0.25">
      <c r="A58" s="189" t="s">
        <v>89</v>
      </c>
      <c r="B58" s="189"/>
      <c r="C58" s="38">
        <v>1</v>
      </c>
      <c r="D58" s="43">
        <f>D59+D62</f>
        <v>52244</v>
      </c>
      <c r="E58" s="43">
        <f>SUM(E59:E62)</f>
        <v>87081</v>
      </c>
      <c r="F58" s="43">
        <f>SUM(F59:F62)</f>
        <v>82826.519317500002</v>
      </c>
      <c r="G58" s="68">
        <f>SUM(H58:K58)</f>
        <v>99788.576000000015</v>
      </c>
      <c r="H58" s="115">
        <f>H59+H62</f>
        <v>23574.12</v>
      </c>
      <c r="I58" s="115">
        <f>I59+I62</f>
        <v>26024.828000000001</v>
      </c>
      <c r="J58" s="115">
        <f>J59+J62</f>
        <v>25988.268000000004</v>
      </c>
      <c r="K58" s="115">
        <f>K59+K62</f>
        <v>24201.360000000001</v>
      </c>
    </row>
    <row r="59" spans="1:11" ht="15.75" x14ac:dyDescent="0.25">
      <c r="A59" s="192" t="s">
        <v>90</v>
      </c>
      <c r="B59" s="192"/>
      <c r="C59" s="39">
        <v>2</v>
      </c>
      <c r="D59" s="41">
        <v>0</v>
      </c>
      <c r="E59" s="98">
        <v>4441</v>
      </c>
      <c r="F59" s="41">
        <v>0</v>
      </c>
      <c r="G59" s="98">
        <f>SUM(H59:K59)</f>
        <v>8951.9960000000028</v>
      </c>
      <c r="H59" s="116">
        <f>(H62-H202-H208)*0.2</f>
        <v>1549.5199999999998</v>
      </c>
      <c r="I59" s="116">
        <f>(I62-I202-I208)*0.2</f>
        <v>2571.1380000000008</v>
      </c>
      <c r="J59" s="116">
        <f>(J62-J202-J208)*0.2</f>
        <v>2564.5780000000013</v>
      </c>
      <c r="K59" s="116">
        <f>(K62-K202-K208)*0.2</f>
        <v>2266.7600000000007</v>
      </c>
    </row>
    <row r="60" spans="1:11" ht="15.75" x14ac:dyDescent="0.25">
      <c r="A60" s="192" t="s">
        <v>91</v>
      </c>
      <c r="B60" s="192"/>
      <c r="C60" s="39">
        <v>3</v>
      </c>
      <c r="D60" s="40"/>
      <c r="E60" s="41"/>
      <c r="F60" s="41"/>
      <c r="G60" s="40"/>
      <c r="H60" s="117"/>
      <c r="I60" s="117"/>
      <c r="J60" s="117"/>
      <c r="K60" s="118"/>
    </row>
    <row r="61" spans="1:11" ht="15.75" x14ac:dyDescent="0.25">
      <c r="A61" s="192" t="s">
        <v>92</v>
      </c>
      <c r="B61" s="192"/>
      <c r="C61" s="39">
        <v>4</v>
      </c>
      <c r="D61" s="40"/>
      <c r="E61" s="41"/>
      <c r="F61" s="41"/>
      <c r="G61" s="40"/>
      <c r="H61" s="117"/>
      <c r="I61" s="117"/>
      <c r="J61" s="117"/>
      <c r="K61" s="118"/>
    </row>
    <row r="62" spans="1:11" ht="15.75" x14ac:dyDescent="0.25">
      <c r="A62" s="189" t="s">
        <v>93</v>
      </c>
      <c r="B62" s="189"/>
      <c r="C62" s="38">
        <v>5</v>
      </c>
      <c r="D62" s="43">
        <f>SUM(D63:D71)</f>
        <v>52244</v>
      </c>
      <c r="E62" s="42">
        <f t="shared" ref="E62" si="0">SUM(E63:E70)</f>
        <v>82640</v>
      </c>
      <c r="F62" s="42">
        <f t="shared" ref="F62:K62" si="1">SUM(F63:F70)</f>
        <v>82826.519317500002</v>
      </c>
      <c r="G62" s="43">
        <f t="shared" si="1"/>
        <v>90836.58</v>
      </c>
      <c r="H62" s="115">
        <f t="shared" si="1"/>
        <v>22024.6</v>
      </c>
      <c r="I62" s="115">
        <f t="shared" si="1"/>
        <v>23453.690000000002</v>
      </c>
      <c r="J62" s="115">
        <f t="shared" si="1"/>
        <v>23423.690000000002</v>
      </c>
      <c r="K62" s="115">
        <f t="shared" si="1"/>
        <v>21934.6</v>
      </c>
    </row>
    <row r="63" spans="1:11" ht="33.75" customHeight="1" x14ac:dyDescent="0.25">
      <c r="A63" s="190" t="s">
        <v>94</v>
      </c>
      <c r="B63" s="191"/>
      <c r="C63" s="44" t="s">
        <v>95</v>
      </c>
      <c r="D63" s="54">
        <v>24284.04</v>
      </c>
      <c r="E63" s="41">
        <v>26496</v>
      </c>
      <c r="F63" s="48">
        <f>13148.76687*2</f>
        <v>26297.533739999999</v>
      </c>
      <c r="G63" s="41">
        <f>H63+I63+J63+K63</f>
        <v>26320</v>
      </c>
      <c r="H63" s="119">
        <f>6580</f>
        <v>6580</v>
      </c>
      <c r="I63" s="116">
        <f>H63</f>
        <v>6580</v>
      </c>
      <c r="J63" s="116">
        <f>I63</f>
        <v>6580</v>
      </c>
      <c r="K63" s="120">
        <f>J63</f>
        <v>6580</v>
      </c>
    </row>
    <row r="64" spans="1:11" ht="15.75" x14ac:dyDescent="0.25">
      <c r="A64" s="192" t="s">
        <v>96</v>
      </c>
      <c r="B64" s="192"/>
      <c r="C64" s="44" t="s">
        <v>97</v>
      </c>
      <c r="D64" s="54">
        <v>691.34</v>
      </c>
      <c r="E64" s="41">
        <v>522</v>
      </c>
      <c r="F64" s="48">
        <f>265*2</f>
        <v>530</v>
      </c>
      <c r="G64" s="41">
        <f t="shared" ref="G64:G70" si="2">H64+I64+J64+K64</f>
        <v>232</v>
      </c>
      <c r="H64" s="116">
        <f>103</f>
        <v>103</v>
      </c>
      <c r="I64" s="116">
        <f>H64-30</f>
        <v>73</v>
      </c>
      <c r="J64" s="116">
        <f>I64-30</f>
        <v>43</v>
      </c>
      <c r="K64" s="121">
        <f>J64-30</f>
        <v>13</v>
      </c>
    </row>
    <row r="65" spans="1:11" ht="15.75" x14ac:dyDescent="0.25">
      <c r="A65" s="192" t="s">
        <v>98</v>
      </c>
      <c r="B65" s="192"/>
      <c r="C65" s="44" t="s">
        <v>99</v>
      </c>
      <c r="D65" s="54">
        <v>3150.78</v>
      </c>
      <c r="E65" s="41">
        <v>3600</v>
      </c>
      <c r="F65" s="48">
        <f>1384.5715*2.5</f>
        <v>3461.42875</v>
      </c>
      <c r="G65" s="41">
        <f t="shared" si="2"/>
        <v>3598.4</v>
      </c>
      <c r="H65" s="116">
        <f>692*1.3</f>
        <v>899.6</v>
      </c>
      <c r="I65" s="116">
        <f>H65</f>
        <v>899.6</v>
      </c>
      <c r="J65" s="116">
        <f>I65</f>
        <v>899.6</v>
      </c>
      <c r="K65" s="121">
        <f>J65</f>
        <v>899.6</v>
      </c>
    </row>
    <row r="66" spans="1:11" ht="15.75" x14ac:dyDescent="0.25">
      <c r="A66" s="192" t="s">
        <v>100</v>
      </c>
      <c r="B66" s="192"/>
      <c r="C66" s="44" t="s">
        <v>101</v>
      </c>
      <c r="D66" s="54">
        <v>1050.07</v>
      </c>
      <c r="E66" s="41">
        <v>883</v>
      </c>
      <c r="F66" s="48">
        <f>519.989925*2.3</f>
        <v>1195.9768274999999</v>
      </c>
      <c r="G66" s="41">
        <f t="shared" si="2"/>
        <v>1560</v>
      </c>
      <c r="H66" s="116">
        <f>260*1.5</f>
        <v>390</v>
      </c>
      <c r="I66" s="116">
        <f>260*1.5</f>
        <v>390</v>
      </c>
      <c r="J66" s="116">
        <f t="shared" ref="J66:K66" si="3">260*1.5</f>
        <v>390</v>
      </c>
      <c r="K66" s="116">
        <f t="shared" si="3"/>
        <v>390</v>
      </c>
    </row>
    <row r="67" spans="1:11" ht="15.75" x14ac:dyDescent="0.25">
      <c r="A67" s="192" t="s">
        <v>102</v>
      </c>
      <c r="B67" s="192"/>
      <c r="C67" s="44" t="s">
        <v>103</v>
      </c>
      <c r="D67" s="54">
        <v>309.27999999999997</v>
      </c>
      <c r="E67" s="41">
        <v>660</v>
      </c>
      <c r="F67" s="48">
        <v>0</v>
      </c>
      <c r="G67" s="41">
        <f>H67+I67+J67+K67</f>
        <v>1400</v>
      </c>
      <c r="H67" s="116">
        <v>350</v>
      </c>
      <c r="I67" s="116">
        <v>350</v>
      </c>
      <c r="J67" s="116">
        <f>I67</f>
        <v>350</v>
      </c>
      <c r="K67" s="121">
        <f>H67</f>
        <v>350</v>
      </c>
    </row>
    <row r="68" spans="1:11" ht="15.75" x14ac:dyDescent="0.25">
      <c r="A68" s="192" t="s">
        <v>104</v>
      </c>
      <c r="B68" s="192"/>
      <c r="C68" s="44" t="s">
        <v>105</v>
      </c>
      <c r="D68" s="54">
        <f>52244-D63-D64-D65-D66-D67-D69-D70</f>
        <v>13026.320000000002</v>
      </c>
      <c r="E68" s="41">
        <v>7590</v>
      </c>
      <c r="F68" s="48">
        <f>7497.79*2</f>
        <v>14995.58</v>
      </c>
      <c r="G68" s="41">
        <f t="shared" si="2"/>
        <v>9200</v>
      </c>
      <c r="H68" s="116">
        <f>2300</f>
        <v>2300</v>
      </c>
      <c r="I68" s="116">
        <f>H68</f>
        <v>2300</v>
      </c>
      <c r="J68" s="116">
        <f>I68</f>
        <v>2300</v>
      </c>
      <c r="K68" s="121">
        <f>H68</f>
        <v>2300</v>
      </c>
    </row>
    <row r="69" spans="1:11" ht="15.75" x14ac:dyDescent="0.25">
      <c r="A69" s="192" t="s">
        <v>106</v>
      </c>
      <c r="B69" s="192"/>
      <c r="C69" s="44" t="s">
        <v>107</v>
      </c>
      <c r="D69" s="99">
        <v>8399.18</v>
      </c>
      <c r="E69" s="41">
        <v>22573</v>
      </c>
      <c r="F69" s="48">
        <f>9995+4998+4998</f>
        <v>19991</v>
      </c>
      <c r="G69" s="41">
        <f t="shared" si="2"/>
        <v>27281.1</v>
      </c>
      <c r="H69" s="116">
        <f>6495.5</f>
        <v>6495.5</v>
      </c>
      <c r="I69" s="116">
        <f>H69*1.1</f>
        <v>7145.05</v>
      </c>
      <c r="J69" s="116">
        <f>I69</f>
        <v>7145.05</v>
      </c>
      <c r="K69" s="121">
        <f>H69</f>
        <v>6495.5</v>
      </c>
    </row>
    <row r="70" spans="1:11" ht="15.75" x14ac:dyDescent="0.25">
      <c r="A70" s="192" t="s">
        <v>108</v>
      </c>
      <c r="B70" s="192"/>
      <c r="C70" s="44" t="s">
        <v>109</v>
      </c>
      <c r="D70" s="100">
        <v>1332.99</v>
      </c>
      <c r="E70" s="41">
        <v>20316</v>
      </c>
      <c r="F70" s="48">
        <f>6542+3271+3271*2</f>
        <v>16355</v>
      </c>
      <c r="G70" s="41">
        <f t="shared" si="2"/>
        <v>21245.08</v>
      </c>
      <c r="H70" s="116">
        <f>4906.5</f>
        <v>4906.5</v>
      </c>
      <c r="I70" s="116">
        <f>I69*0.8</f>
        <v>5716.0400000000009</v>
      </c>
      <c r="J70" s="116">
        <f>J69*0.8</f>
        <v>5716.0400000000009</v>
      </c>
      <c r="K70" s="116">
        <f>H70</f>
        <v>4906.5</v>
      </c>
    </row>
    <row r="71" spans="1:11" ht="15.75" x14ac:dyDescent="0.25">
      <c r="A71" s="196" t="s">
        <v>110</v>
      </c>
      <c r="B71" s="197"/>
      <c r="C71" s="44" t="s">
        <v>111</v>
      </c>
      <c r="D71" s="41"/>
      <c r="E71" s="41"/>
      <c r="F71" s="45"/>
      <c r="G71" s="41"/>
      <c r="H71" s="116"/>
      <c r="I71" s="116"/>
      <c r="J71" s="116"/>
      <c r="K71" s="116"/>
    </row>
    <row r="72" spans="1:11" ht="33" customHeight="1" x14ac:dyDescent="0.25">
      <c r="A72" s="189" t="s">
        <v>112</v>
      </c>
      <c r="B72" s="189"/>
      <c r="C72" s="38">
        <v>6</v>
      </c>
      <c r="D72" s="43">
        <f t="shared" ref="D72:K72" si="4">SUM(D73:D79)</f>
        <v>125294</v>
      </c>
      <c r="E72" s="42">
        <f>SUM(E73:E79)</f>
        <v>123164</v>
      </c>
      <c r="F72" s="42">
        <f>SUM(F73:F79)</f>
        <v>99346.011719999995</v>
      </c>
      <c r="G72" s="43">
        <f>SUM(G73:G79)</f>
        <v>171961.4</v>
      </c>
      <c r="H72" s="115">
        <f>SUM(H73:H79)</f>
        <v>42990.35</v>
      </c>
      <c r="I72" s="115">
        <f t="shared" si="4"/>
        <v>42990.35</v>
      </c>
      <c r="J72" s="115">
        <f t="shared" si="4"/>
        <v>42990.35</v>
      </c>
      <c r="K72" s="115">
        <f t="shared" si="4"/>
        <v>42990.35</v>
      </c>
    </row>
    <row r="73" spans="1:11" ht="15.75" x14ac:dyDescent="0.25">
      <c r="A73" s="192" t="s">
        <v>113</v>
      </c>
      <c r="B73" s="192"/>
      <c r="C73" s="44" t="s">
        <v>114</v>
      </c>
      <c r="D73" s="54">
        <f>12454.653</f>
        <v>12454.653</v>
      </c>
      <c r="E73" s="41">
        <v>12830</v>
      </c>
      <c r="F73" s="48">
        <f>1493*2</f>
        <v>2986</v>
      </c>
      <c r="G73" s="41">
        <f>H73+I73+J73+K73</f>
        <v>3108</v>
      </c>
      <c r="H73" s="122">
        <v>777</v>
      </c>
      <c r="I73" s="116">
        <f>H73</f>
        <v>777</v>
      </c>
      <c r="J73" s="116">
        <f>I73</f>
        <v>777</v>
      </c>
      <c r="K73" s="121">
        <f>J73</f>
        <v>777</v>
      </c>
    </row>
    <row r="74" spans="1:11" ht="15.75" x14ac:dyDescent="0.25">
      <c r="A74" s="192" t="s">
        <v>115</v>
      </c>
      <c r="B74" s="192"/>
      <c r="C74" s="44" t="s">
        <v>116</v>
      </c>
      <c r="D74" s="54">
        <f>4875.692</f>
        <v>4875.692</v>
      </c>
      <c r="E74" s="41">
        <v>6030</v>
      </c>
      <c r="F74" s="48">
        <f>4887*2</f>
        <v>9774</v>
      </c>
      <c r="G74" s="41">
        <f>H74+I74+J74+K74</f>
        <v>12000</v>
      </c>
      <c r="H74" s="122">
        <v>3000</v>
      </c>
      <c r="I74" s="116">
        <f>H74</f>
        <v>3000</v>
      </c>
      <c r="J74" s="116">
        <f t="shared" ref="J74:K75" si="5">I74</f>
        <v>3000</v>
      </c>
      <c r="K74" s="116">
        <f t="shared" si="5"/>
        <v>3000</v>
      </c>
    </row>
    <row r="75" spans="1:11" ht="15.75" x14ac:dyDescent="0.25">
      <c r="A75" s="192" t="s">
        <v>117</v>
      </c>
      <c r="B75" s="192"/>
      <c r="C75" s="44" t="s">
        <v>118</v>
      </c>
      <c r="D75" s="54">
        <f>(183531.28+1134251.62+14915792.89)/1000</f>
        <v>16233.575790000001</v>
      </c>
      <c r="E75" s="41">
        <v>26220</v>
      </c>
      <c r="F75" s="48">
        <f>9272*2</f>
        <v>18544</v>
      </c>
      <c r="G75" s="41">
        <f>H75+I75+J75+K75</f>
        <v>19600</v>
      </c>
      <c r="H75" s="122">
        <v>4900</v>
      </c>
      <c r="I75" s="122">
        <f>H75</f>
        <v>4900</v>
      </c>
      <c r="J75" s="122">
        <f t="shared" si="5"/>
        <v>4900</v>
      </c>
      <c r="K75" s="122">
        <f t="shared" si="5"/>
        <v>4900</v>
      </c>
    </row>
    <row r="76" spans="1:11" ht="15.75" x14ac:dyDescent="0.25">
      <c r="A76" s="192" t="s">
        <v>119</v>
      </c>
      <c r="B76" s="192"/>
      <c r="C76" s="44" t="s">
        <v>120</v>
      </c>
      <c r="D76" s="54">
        <f>35653-D87</f>
        <v>30750.491840000002</v>
      </c>
      <c r="E76" s="41">
        <v>52096</v>
      </c>
      <c r="F76" s="48">
        <f>46861-F87</f>
        <v>40761.711719999999</v>
      </c>
      <c r="G76" s="41">
        <f>H76+I76+J76+K76</f>
        <v>99770</v>
      </c>
      <c r="H76" s="122">
        <f>109476/4-H87</f>
        <v>24942.5</v>
      </c>
      <c r="I76" s="116">
        <f>H76</f>
        <v>24942.5</v>
      </c>
      <c r="J76" s="116">
        <f>I76</f>
        <v>24942.5</v>
      </c>
      <c r="K76" s="121">
        <f>J76</f>
        <v>24942.5</v>
      </c>
    </row>
    <row r="77" spans="1:11" ht="15.75" x14ac:dyDescent="0.25">
      <c r="A77" s="192" t="s">
        <v>121</v>
      </c>
      <c r="B77" s="192"/>
      <c r="C77" s="44" t="s">
        <v>122</v>
      </c>
      <c r="D77" s="54">
        <f>7829-D88</f>
        <v>6763.1785500000005</v>
      </c>
      <c r="E77" s="48">
        <v>11461</v>
      </c>
      <c r="F77" s="48">
        <f>5269*2</f>
        <v>10538</v>
      </c>
      <c r="G77" s="48">
        <f>G76*0.22</f>
        <v>21949.4</v>
      </c>
      <c r="H77" s="122">
        <f>H76*0.22</f>
        <v>5487.35</v>
      </c>
      <c r="I77" s="122">
        <f>I76*0.22</f>
        <v>5487.35</v>
      </c>
      <c r="J77" s="122">
        <f>J76*0.22</f>
        <v>5487.35</v>
      </c>
      <c r="K77" s="122">
        <f>K76*0.22</f>
        <v>5487.35</v>
      </c>
    </row>
    <row r="78" spans="1:11" ht="15.75" x14ac:dyDescent="0.25">
      <c r="A78" s="192" t="s">
        <v>123</v>
      </c>
      <c r="B78" s="192"/>
      <c r="C78" s="44" t="s">
        <v>124</v>
      </c>
      <c r="D78" s="54">
        <f>4408-D89</f>
        <v>3554.6380799999997</v>
      </c>
      <c r="E78" s="41">
        <v>1627</v>
      </c>
      <c r="F78" s="41">
        <f>3493*1.1</f>
        <v>3842.3</v>
      </c>
      <c r="G78" s="41">
        <f>H78+I78+J78+K78</f>
        <v>2400</v>
      </c>
      <c r="H78" s="122">
        <v>600</v>
      </c>
      <c r="I78" s="116">
        <f t="shared" ref="I78:K79" si="6">H78</f>
        <v>600</v>
      </c>
      <c r="J78" s="116">
        <f t="shared" si="6"/>
        <v>600</v>
      </c>
      <c r="K78" s="121">
        <f t="shared" si="6"/>
        <v>600</v>
      </c>
    </row>
    <row r="79" spans="1:11" ht="15.75" x14ac:dyDescent="0.25">
      <c r="A79" s="192" t="s">
        <v>125</v>
      </c>
      <c r="B79" s="192"/>
      <c r="C79" s="44" t="s">
        <v>126</v>
      </c>
      <c r="D79" s="54">
        <f>125294-D73-D74-D75-D76-D77-D78</f>
        <v>50661.77074</v>
      </c>
      <c r="E79" s="41">
        <v>12900</v>
      </c>
      <c r="F79" s="48">
        <f>E79*2*0.5</f>
        <v>12900</v>
      </c>
      <c r="G79" s="41">
        <f>H79+I79+J79+K79</f>
        <v>13134.000000000002</v>
      </c>
      <c r="H79" s="122">
        <f>2985*1.1</f>
        <v>3283.5000000000005</v>
      </c>
      <c r="I79" s="116">
        <f>H79</f>
        <v>3283.5000000000005</v>
      </c>
      <c r="J79" s="116">
        <f t="shared" si="6"/>
        <v>3283.5000000000005</v>
      </c>
      <c r="K79" s="116">
        <f t="shared" si="6"/>
        <v>3283.5000000000005</v>
      </c>
    </row>
    <row r="80" spans="1:11" ht="15.75" x14ac:dyDescent="0.25">
      <c r="A80" s="189" t="s">
        <v>127</v>
      </c>
      <c r="B80" s="189"/>
      <c r="C80" s="38">
        <v>7</v>
      </c>
      <c r="D80" s="101">
        <f t="shared" ref="D80:K80" si="7">D62-D72</f>
        <v>-73050</v>
      </c>
      <c r="E80" s="42">
        <f t="shared" si="7"/>
        <v>-40524</v>
      </c>
      <c r="F80" s="42">
        <f>F62-F72</f>
        <v>-16519.492402499993</v>
      </c>
      <c r="G80" s="47">
        <f>G62-G72</f>
        <v>-81124.819999999992</v>
      </c>
      <c r="H80" s="115">
        <f>H62-H72</f>
        <v>-20965.75</v>
      </c>
      <c r="I80" s="115">
        <f t="shared" si="7"/>
        <v>-19536.659999999996</v>
      </c>
      <c r="J80" s="115">
        <f t="shared" si="7"/>
        <v>-19566.659999999996</v>
      </c>
      <c r="K80" s="115">
        <f t="shared" si="7"/>
        <v>-21055.75</v>
      </c>
    </row>
    <row r="81" spans="1:11" ht="15.75" x14ac:dyDescent="0.25">
      <c r="A81" s="189" t="s">
        <v>128</v>
      </c>
      <c r="B81" s="189"/>
      <c r="C81" s="38">
        <v>8</v>
      </c>
      <c r="D81" s="102">
        <f>SUM(D83:D99)</f>
        <v>8314.3468599999978</v>
      </c>
      <c r="E81" s="42">
        <f>SUM(E82:E99)</f>
        <v>12057.8</v>
      </c>
      <c r="F81" s="42">
        <f>SUM(F82:F99)</f>
        <v>10872.534741599999</v>
      </c>
      <c r="G81" s="47">
        <f>SUM(G83:G99)</f>
        <v>14796.92</v>
      </c>
      <c r="H81" s="115">
        <f>SUM(H83:H99)</f>
        <v>3697.83</v>
      </c>
      <c r="I81" s="115">
        <f>SUM(I83:I99)</f>
        <v>3697.83</v>
      </c>
      <c r="J81" s="115">
        <f>SUM(J83:J99)</f>
        <v>3700.63</v>
      </c>
      <c r="K81" s="115">
        <f>SUM(K83:K99)</f>
        <v>3700.63</v>
      </c>
    </row>
    <row r="82" spans="1:11" ht="15.75" x14ac:dyDescent="0.25">
      <c r="A82" s="192" t="s">
        <v>129</v>
      </c>
      <c r="B82" s="192"/>
      <c r="C82" s="39"/>
      <c r="D82" s="54"/>
      <c r="E82" s="41"/>
      <c r="F82" s="48"/>
      <c r="G82" s="41"/>
      <c r="H82" s="122"/>
      <c r="I82" s="117"/>
      <c r="J82" s="117"/>
      <c r="K82" s="118"/>
    </row>
    <row r="83" spans="1:11" ht="15.75" x14ac:dyDescent="0.25">
      <c r="A83" s="192" t="s">
        <v>130</v>
      </c>
      <c r="B83" s="192"/>
      <c r="C83" s="44" t="s">
        <v>131</v>
      </c>
      <c r="D83" s="54"/>
      <c r="E83" s="41">
        <v>0</v>
      </c>
      <c r="F83" s="48">
        <v>0</v>
      </c>
      <c r="G83" s="41">
        <f t="shared" ref="G83:G99" si="8">H83+I83+J83+K83</f>
        <v>0</v>
      </c>
      <c r="H83" s="122">
        <v>0</v>
      </c>
      <c r="I83" s="116">
        <v>0</v>
      </c>
      <c r="J83" s="116">
        <v>0</v>
      </c>
      <c r="K83" s="121">
        <v>0</v>
      </c>
    </row>
    <row r="84" spans="1:11" ht="15.75" x14ac:dyDescent="0.25">
      <c r="A84" s="192" t="s">
        <v>132</v>
      </c>
      <c r="B84" s="192"/>
      <c r="C84" s="44" t="s">
        <v>133</v>
      </c>
      <c r="D84" s="54"/>
      <c r="E84" s="41">
        <v>0</v>
      </c>
      <c r="F84" s="48">
        <v>0</v>
      </c>
      <c r="G84" s="41">
        <f t="shared" si="8"/>
        <v>0</v>
      </c>
      <c r="H84" s="122">
        <v>0</v>
      </c>
      <c r="I84" s="116">
        <v>0</v>
      </c>
      <c r="J84" s="116">
        <v>0</v>
      </c>
      <c r="K84" s="121">
        <v>0</v>
      </c>
    </row>
    <row r="85" spans="1:11" ht="15.75" x14ac:dyDescent="0.25">
      <c r="A85" s="192" t="s">
        <v>134</v>
      </c>
      <c r="B85" s="192"/>
      <c r="C85" s="44" t="s">
        <v>135</v>
      </c>
      <c r="D85" s="54"/>
      <c r="E85" s="41">
        <v>0</v>
      </c>
      <c r="F85" s="48">
        <v>0</v>
      </c>
      <c r="G85" s="41">
        <f t="shared" si="8"/>
        <v>40</v>
      </c>
      <c r="H85" s="116">
        <v>10</v>
      </c>
      <c r="I85" s="116">
        <v>10</v>
      </c>
      <c r="J85" s="116">
        <f>I85</f>
        <v>10</v>
      </c>
      <c r="K85" s="121">
        <f>H85</f>
        <v>10</v>
      </c>
    </row>
    <row r="86" spans="1:11" ht="15.75" x14ac:dyDescent="0.25">
      <c r="A86" s="190" t="s">
        <v>136</v>
      </c>
      <c r="B86" s="191"/>
      <c r="C86" s="44" t="s">
        <v>137</v>
      </c>
      <c r="D86" s="99">
        <f>3.24+1.678</f>
        <v>4.9180000000000001</v>
      </c>
      <c r="E86" s="41">
        <v>13</v>
      </c>
      <c r="F86" s="103">
        <v>4</v>
      </c>
      <c r="G86" s="46">
        <f t="shared" si="8"/>
        <v>8.6</v>
      </c>
      <c r="H86" s="123">
        <v>2</v>
      </c>
      <c r="I86" s="116">
        <f>H86</f>
        <v>2</v>
      </c>
      <c r="J86" s="116">
        <f>I86*1.15</f>
        <v>2.2999999999999998</v>
      </c>
      <c r="K86" s="121">
        <f>J86</f>
        <v>2.2999999999999998</v>
      </c>
    </row>
    <row r="87" spans="1:11" ht="15.75" x14ac:dyDescent="0.25">
      <c r="A87" s="192" t="s">
        <v>119</v>
      </c>
      <c r="B87" s="192"/>
      <c r="C87" s="44" t="s">
        <v>138</v>
      </c>
      <c r="D87" s="99">
        <f>(4868365.82+14483.34)/1000+19.659</f>
        <v>4902.5081599999994</v>
      </c>
      <c r="E87" s="41">
        <v>7873</v>
      </c>
      <c r="F87" s="48">
        <f>2605+1303+1303*1.16676+671</f>
        <v>6099.2882799999998</v>
      </c>
      <c r="G87" s="41">
        <f t="shared" si="8"/>
        <v>9706</v>
      </c>
      <c r="H87" s="116">
        <f>9706/4</f>
        <v>2426.5</v>
      </c>
      <c r="I87" s="116">
        <f>H87</f>
        <v>2426.5</v>
      </c>
      <c r="J87" s="116">
        <f>H87</f>
        <v>2426.5</v>
      </c>
      <c r="K87" s="121">
        <f>J87</f>
        <v>2426.5</v>
      </c>
    </row>
    <row r="88" spans="1:11" ht="15.75" x14ac:dyDescent="0.25">
      <c r="A88" s="192" t="s">
        <v>121</v>
      </c>
      <c r="B88" s="192"/>
      <c r="C88" s="44" t="s">
        <v>139</v>
      </c>
      <c r="D88" s="54">
        <f>1065821.45/1000</f>
        <v>1065.8214499999999</v>
      </c>
      <c r="E88" s="41">
        <v>1732</v>
      </c>
      <c r="F88" s="48">
        <f>F87*0.22</f>
        <v>1341.8434216000001</v>
      </c>
      <c r="G88" s="41">
        <f t="shared" si="8"/>
        <v>2135.3200000000002</v>
      </c>
      <c r="H88" s="122">
        <f>H87*0.22</f>
        <v>533.83000000000004</v>
      </c>
      <c r="I88" s="122">
        <f>I87*0.22</f>
        <v>533.83000000000004</v>
      </c>
      <c r="J88" s="122">
        <f>J87*0.22</f>
        <v>533.83000000000004</v>
      </c>
      <c r="K88" s="122">
        <f>K87*0.22</f>
        <v>533.83000000000004</v>
      </c>
    </row>
    <row r="89" spans="1:11" ht="35.450000000000003" customHeight="1" x14ac:dyDescent="0.25">
      <c r="A89" s="192" t="s">
        <v>140</v>
      </c>
      <c r="B89" s="192"/>
      <c r="C89" s="44" t="s">
        <v>141</v>
      </c>
      <c r="D89" s="54">
        <f>853361.92/1000</f>
        <v>853.36192000000005</v>
      </c>
      <c r="E89" s="41">
        <v>816</v>
      </c>
      <c r="F89" s="41">
        <f>430*2</f>
        <v>860</v>
      </c>
      <c r="G89" s="41">
        <f t="shared" si="8"/>
        <v>600</v>
      </c>
      <c r="H89" s="122">
        <v>150</v>
      </c>
      <c r="I89" s="116">
        <f>H89</f>
        <v>150</v>
      </c>
      <c r="J89" s="116">
        <f>I89</f>
        <v>150</v>
      </c>
      <c r="K89" s="116">
        <f>J89</f>
        <v>150</v>
      </c>
    </row>
    <row r="90" spans="1:11" ht="15.75" x14ac:dyDescent="0.25">
      <c r="A90" s="192" t="s">
        <v>142</v>
      </c>
      <c r="B90" s="192"/>
      <c r="C90" s="44" t="s">
        <v>143</v>
      </c>
      <c r="D90" s="54"/>
      <c r="E90" s="41">
        <v>0</v>
      </c>
      <c r="F90" s="48">
        <v>0</v>
      </c>
      <c r="G90" s="41">
        <f t="shared" si="8"/>
        <v>10</v>
      </c>
      <c r="H90" s="116">
        <v>2.5</v>
      </c>
      <c r="I90" s="116">
        <f>H90</f>
        <v>2.5</v>
      </c>
      <c r="J90" s="116">
        <f>I90</f>
        <v>2.5</v>
      </c>
      <c r="K90" s="121">
        <f>I90</f>
        <v>2.5</v>
      </c>
    </row>
    <row r="91" spans="1:11" ht="15.75" x14ac:dyDescent="0.25">
      <c r="A91" s="192" t="s">
        <v>144</v>
      </c>
      <c r="B91" s="192"/>
      <c r="C91" s="44" t="s">
        <v>145</v>
      </c>
      <c r="D91" s="54"/>
      <c r="E91" s="41">
        <v>0</v>
      </c>
      <c r="F91" s="48">
        <v>0</v>
      </c>
      <c r="G91" s="41">
        <f t="shared" si="8"/>
        <v>4</v>
      </c>
      <c r="H91" s="116">
        <v>1</v>
      </c>
      <c r="I91" s="116">
        <v>1</v>
      </c>
      <c r="J91" s="116">
        <f>I91</f>
        <v>1</v>
      </c>
      <c r="K91" s="121">
        <f>J91</f>
        <v>1</v>
      </c>
    </row>
    <row r="92" spans="1:11" ht="15.75" x14ac:dyDescent="0.25">
      <c r="A92" s="192" t="s">
        <v>146</v>
      </c>
      <c r="B92" s="192"/>
      <c r="C92" s="44" t="s">
        <v>147</v>
      </c>
      <c r="D92" s="54">
        <f>61.2+10.7</f>
        <v>71.900000000000006</v>
      </c>
      <c r="E92" s="41">
        <v>122</v>
      </c>
      <c r="F92" s="48">
        <v>100</v>
      </c>
      <c r="G92" s="41">
        <f t="shared" si="8"/>
        <v>120</v>
      </c>
      <c r="H92" s="122">
        <f>60/2</f>
        <v>30</v>
      </c>
      <c r="I92" s="116">
        <f>H92</f>
        <v>30</v>
      </c>
      <c r="J92" s="116">
        <f>I92</f>
        <v>30</v>
      </c>
      <c r="K92" s="121">
        <f>J92</f>
        <v>30</v>
      </c>
    </row>
    <row r="93" spans="1:11" ht="48.6" customHeight="1" x14ac:dyDescent="0.25">
      <c r="A93" s="192" t="s">
        <v>148</v>
      </c>
      <c r="B93" s="192"/>
      <c r="C93" s="44" t="s">
        <v>149</v>
      </c>
      <c r="D93" s="54">
        <v>738</v>
      </c>
      <c r="E93" s="41">
        <v>290</v>
      </c>
      <c r="F93" s="48">
        <f>4189*0.5</f>
        <v>2094.5</v>
      </c>
      <c r="G93" s="41">
        <f t="shared" si="8"/>
        <v>1680</v>
      </c>
      <c r="H93" s="122">
        <f>2100*0.2</f>
        <v>420</v>
      </c>
      <c r="I93" s="116">
        <f>H93</f>
        <v>420</v>
      </c>
      <c r="J93" s="116">
        <f>H93</f>
        <v>420</v>
      </c>
      <c r="K93" s="124">
        <f>H93</f>
        <v>420</v>
      </c>
    </row>
    <row r="94" spans="1:11" ht="15.75" x14ac:dyDescent="0.25">
      <c r="A94" s="192" t="s">
        <v>115</v>
      </c>
      <c r="B94" s="192"/>
      <c r="C94" s="44" t="s">
        <v>150</v>
      </c>
      <c r="D94" s="54">
        <f>107016.64/1000</f>
        <v>107.01664</v>
      </c>
      <c r="E94" s="41">
        <v>41</v>
      </c>
      <c r="F94" s="48">
        <f>79*2</f>
        <v>158</v>
      </c>
      <c r="G94" s="41">
        <f t="shared" si="8"/>
        <v>156</v>
      </c>
      <c r="H94" s="122">
        <v>39</v>
      </c>
      <c r="I94" s="116">
        <f>H94</f>
        <v>39</v>
      </c>
      <c r="J94" s="116">
        <f>I94</f>
        <v>39</v>
      </c>
      <c r="K94" s="124">
        <f>J94</f>
        <v>39</v>
      </c>
    </row>
    <row r="95" spans="1:11" ht="15.75" x14ac:dyDescent="0.25">
      <c r="A95" s="192" t="s">
        <v>117</v>
      </c>
      <c r="B95" s="192"/>
      <c r="C95" s="44" t="s">
        <v>151</v>
      </c>
      <c r="D95" s="54">
        <f>162.49424+66.749</f>
        <v>229.24323999999999</v>
      </c>
      <c r="E95" s="41">
        <v>617</v>
      </c>
      <c r="F95" s="41">
        <v>0</v>
      </c>
      <c r="G95" s="41">
        <f t="shared" si="8"/>
        <v>60</v>
      </c>
      <c r="H95" s="122">
        <v>15</v>
      </c>
      <c r="I95" s="116">
        <f>H95</f>
        <v>15</v>
      </c>
      <c r="J95" s="116">
        <f>H95</f>
        <v>15</v>
      </c>
      <c r="K95" s="124">
        <f>H95</f>
        <v>15</v>
      </c>
    </row>
    <row r="96" spans="1:11" ht="15.75" x14ac:dyDescent="0.25">
      <c r="A96" s="192" t="s">
        <v>152</v>
      </c>
      <c r="B96" s="192"/>
      <c r="C96" s="44" t="s">
        <v>153</v>
      </c>
      <c r="D96" s="54">
        <f>156.15073+21.7</f>
        <v>177.85073</v>
      </c>
      <c r="E96" s="41">
        <v>296.39999999999998</v>
      </c>
      <c r="F96" s="48">
        <f>(25.3728+2.1144)*2</f>
        <v>54.974400000000003</v>
      </c>
      <c r="G96" s="41">
        <f t="shared" si="8"/>
        <v>40</v>
      </c>
      <c r="H96" s="122">
        <f>10</f>
        <v>10</v>
      </c>
      <c r="I96" s="116">
        <f>H96</f>
        <v>10</v>
      </c>
      <c r="J96" s="116">
        <f>I96</f>
        <v>10</v>
      </c>
      <c r="K96" s="116">
        <f>J96</f>
        <v>10</v>
      </c>
    </row>
    <row r="97" spans="1:11" ht="15.75" x14ac:dyDescent="0.25">
      <c r="A97" s="192" t="s">
        <v>154</v>
      </c>
      <c r="B97" s="192"/>
      <c r="C97" s="44" t="s">
        <v>155</v>
      </c>
      <c r="D97" s="54">
        <f>12.9615+3.136</f>
        <v>16.0975</v>
      </c>
      <c r="E97" s="53">
        <v>52</v>
      </c>
      <c r="F97" s="48">
        <v>0</v>
      </c>
      <c r="G97" s="53">
        <f t="shared" si="8"/>
        <v>0</v>
      </c>
      <c r="H97" s="122">
        <v>0</v>
      </c>
      <c r="I97" s="125">
        <v>0</v>
      </c>
      <c r="J97" s="125">
        <f t="shared" ref="I97:K98" si="9">I97</f>
        <v>0</v>
      </c>
      <c r="K97" s="121">
        <f t="shared" si="9"/>
        <v>0</v>
      </c>
    </row>
    <row r="98" spans="1:11" ht="15.75" x14ac:dyDescent="0.25">
      <c r="A98" s="192" t="s">
        <v>156</v>
      </c>
      <c r="B98" s="192"/>
      <c r="C98" s="44" t="s">
        <v>157</v>
      </c>
      <c r="D98" s="104">
        <f>3504/1000+2.664</f>
        <v>6.1680000000000001</v>
      </c>
      <c r="E98" s="41">
        <v>0</v>
      </c>
      <c r="F98" s="79">
        <v>31.234000000000002</v>
      </c>
      <c r="G98" s="41">
        <f t="shared" si="8"/>
        <v>32</v>
      </c>
      <c r="H98" s="116">
        <f>8</f>
        <v>8</v>
      </c>
      <c r="I98" s="116">
        <f t="shared" si="9"/>
        <v>8</v>
      </c>
      <c r="J98" s="116">
        <f t="shared" si="9"/>
        <v>8</v>
      </c>
      <c r="K98" s="121">
        <f t="shared" si="9"/>
        <v>8</v>
      </c>
    </row>
    <row r="99" spans="1:11" ht="15.75" x14ac:dyDescent="0.25">
      <c r="A99" s="192" t="s">
        <v>158</v>
      </c>
      <c r="B99" s="192"/>
      <c r="C99" s="44" t="s">
        <v>159</v>
      </c>
      <c r="D99" s="54">
        <f>125636.22/1000+15.825</f>
        <v>141.46122</v>
      </c>
      <c r="E99" s="53">
        <v>205.4</v>
      </c>
      <c r="F99" s="49">
        <f>(40.69232+23.655)*2</f>
        <v>128.69463999999999</v>
      </c>
      <c r="G99" s="53">
        <f t="shared" si="8"/>
        <v>205</v>
      </c>
      <c r="H99" s="116">
        <f>50</f>
        <v>50</v>
      </c>
      <c r="I99" s="116">
        <f>H99</f>
        <v>50</v>
      </c>
      <c r="J99" s="116">
        <f>I99*1.05</f>
        <v>52.5</v>
      </c>
      <c r="K99" s="124">
        <f>J99</f>
        <v>52.5</v>
      </c>
    </row>
    <row r="100" spans="1:11" ht="15.75" x14ac:dyDescent="0.25">
      <c r="A100" s="189" t="s">
        <v>160</v>
      </c>
      <c r="B100" s="189"/>
      <c r="C100" s="38">
        <v>9</v>
      </c>
      <c r="D100" s="43">
        <f t="shared" ref="D100:K100" si="10">SUM(D101:D107)</f>
        <v>0</v>
      </c>
      <c r="E100" s="42">
        <f t="shared" si="10"/>
        <v>0</v>
      </c>
      <c r="F100" s="42">
        <f t="shared" si="10"/>
        <v>0</v>
      </c>
      <c r="G100" s="43">
        <f t="shared" si="10"/>
        <v>0</v>
      </c>
      <c r="H100" s="115">
        <f t="shared" si="10"/>
        <v>0</v>
      </c>
      <c r="I100" s="115">
        <f t="shared" si="10"/>
        <v>0</v>
      </c>
      <c r="J100" s="115">
        <f t="shared" si="10"/>
        <v>0</v>
      </c>
      <c r="K100" s="115">
        <f t="shared" si="10"/>
        <v>0</v>
      </c>
    </row>
    <row r="101" spans="1:11" ht="15.75" x14ac:dyDescent="0.25">
      <c r="A101" s="192" t="s">
        <v>161</v>
      </c>
      <c r="B101" s="192"/>
      <c r="C101" s="44" t="s">
        <v>162</v>
      </c>
      <c r="D101" s="40"/>
      <c r="E101" s="41"/>
      <c r="G101" s="40"/>
      <c r="H101" s="116"/>
      <c r="I101" s="116"/>
      <c r="J101" s="116"/>
      <c r="K101" s="124"/>
    </row>
    <row r="102" spans="1:11" ht="15.75" x14ac:dyDescent="0.25">
      <c r="A102" s="192" t="s">
        <v>163</v>
      </c>
      <c r="B102" s="192"/>
      <c r="C102" s="44" t="s">
        <v>164</v>
      </c>
      <c r="D102" s="40"/>
      <c r="E102" s="41"/>
      <c r="F102" s="48"/>
      <c r="G102" s="40"/>
      <c r="H102" s="116"/>
      <c r="I102" s="116"/>
      <c r="J102" s="116"/>
      <c r="K102" s="124"/>
    </row>
    <row r="103" spans="1:11" ht="15.75" x14ac:dyDescent="0.25">
      <c r="A103" s="192" t="s">
        <v>119</v>
      </c>
      <c r="B103" s="192"/>
      <c r="C103" s="44" t="s">
        <v>165</v>
      </c>
      <c r="D103" s="40"/>
      <c r="E103" s="41"/>
      <c r="F103" s="48"/>
      <c r="G103" s="40"/>
      <c r="H103" s="116"/>
      <c r="I103" s="116"/>
      <c r="J103" s="116"/>
      <c r="K103" s="124"/>
    </row>
    <row r="104" spans="1:11" ht="15.75" x14ac:dyDescent="0.25">
      <c r="A104" s="192" t="s">
        <v>166</v>
      </c>
      <c r="B104" s="192"/>
      <c r="C104" s="44" t="s">
        <v>167</v>
      </c>
      <c r="D104" s="40"/>
      <c r="E104" s="41"/>
      <c r="F104" s="48"/>
      <c r="G104" s="40"/>
      <c r="H104" s="116"/>
      <c r="I104" s="116"/>
      <c r="J104" s="116"/>
      <c r="K104" s="124"/>
    </row>
    <row r="105" spans="1:11" ht="15.75" x14ac:dyDescent="0.25">
      <c r="A105" s="192" t="s">
        <v>168</v>
      </c>
      <c r="B105" s="192"/>
      <c r="C105" s="44" t="s">
        <v>169</v>
      </c>
      <c r="D105" s="40"/>
      <c r="E105" s="41"/>
      <c r="F105" s="48"/>
      <c r="G105" s="40"/>
      <c r="H105" s="116"/>
      <c r="I105" s="116"/>
      <c r="J105" s="116"/>
      <c r="K105" s="124"/>
    </row>
    <row r="106" spans="1:11" ht="15.75" x14ac:dyDescent="0.25">
      <c r="A106" s="192" t="s">
        <v>170</v>
      </c>
      <c r="B106" s="192"/>
      <c r="C106" s="44" t="s">
        <v>171</v>
      </c>
      <c r="D106" s="40"/>
      <c r="E106" s="41"/>
      <c r="F106" s="48"/>
      <c r="G106" s="40"/>
      <c r="H106" s="116"/>
      <c r="I106" s="116"/>
      <c r="J106" s="116"/>
      <c r="K106" s="124"/>
    </row>
    <row r="107" spans="1:11" ht="15.75" x14ac:dyDescent="0.25">
      <c r="A107" s="192" t="s">
        <v>172</v>
      </c>
      <c r="B107" s="192"/>
      <c r="C107" s="44" t="s">
        <v>173</v>
      </c>
      <c r="D107" s="40"/>
      <c r="E107" s="41"/>
      <c r="F107" s="48"/>
      <c r="G107" s="40"/>
      <c r="H107" s="116"/>
      <c r="I107" s="116"/>
      <c r="J107" s="116"/>
      <c r="K107" s="124"/>
    </row>
    <row r="108" spans="1:11" ht="15.75" x14ac:dyDescent="0.25">
      <c r="A108" s="189" t="s">
        <v>174</v>
      </c>
      <c r="B108" s="189"/>
      <c r="C108" s="38">
        <v>10</v>
      </c>
      <c r="D108" s="43">
        <f t="shared" ref="D108:K108" si="11">SUM(D109:D110)</f>
        <v>7537.770300000001</v>
      </c>
      <c r="E108" s="42">
        <f t="shared" si="11"/>
        <v>7689</v>
      </c>
      <c r="F108" s="42">
        <f t="shared" si="11"/>
        <v>7562</v>
      </c>
      <c r="G108" s="43">
        <f t="shared" si="11"/>
        <v>7713.24</v>
      </c>
      <c r="H108" s="115">
        <f>SUM(H109:H110)</f>
        <v>1928.31</v>
      </c>
      <c r="I108" s="115">
        <f t="shared" si="11"/>
        <v>1928.31</v>
      </c>
      <c r="J108" s="115">
        <f t="shared" si="11"/>
        <v>1928.31</v>
      </c>
      <c r="K108" s="115">
        <f t="shared" si="11"/>
        <v>1928.31</v>
      </c>
    </row>
    <row r="109" spans="1:11" ht="15.75" x14ac:dyDescent="0.25">
      <c r="A109" s="199" t="s">
        <v>175</v>
      </c>
      <c r="B109" s="199"/>
      <c r="C109" s="44" t="s">
        <v>176</v>
      </c>
      <c r="D109" s="50">
        <v>0</v>
      </c>
      <c r="E109" s="42"/>
      <c r="F109" s="42"/>
      <c r="G109" s="43"/>
      <c r="H109" s="115"/>
      <c r="I109" s="115"/>
      <c r="J109" s="115"/>
      <c r="K109" s="115"/>
    </row>
    <row r="110" spans="1:11" ht="33.6" customHeight="1" x14ac:dyDescent="0.25">
      <c r="A110" s="199" t="s">
        <v>177</v>
      </c>
      <c r="B110" s="199"/>
      <c r="C110" s="44" t="s">
        <v>178</v>
      </c>
      <c r="D110" s="54">
        <f>(8224.48+7529545.82)/1000</f>
        <v>7537.770300000001</v>
      </c>
      <c r="E110" s="41">
        <v>7689</v>
      </c>
      <c r="F110" s="48">
        <f>3781*2</f>
        <v>7562</v>
      </c>
      <c r="G110" s="41">
        <f>H110+I110+J110+K110</f>
        <v>7713.24</v>
      </c>
      <c r="H110" s="116">
        <f>7562/12*1.02*3</f>
        <v>1928.31</v>
      </c>
      <c r="I110" s="116">
        <f>H110</f>
        <v>1928.31</v>
      </c>
      <c r="J110" s="116">
        <f>I110</f>
        <v>1928.31</v>
      </c>
      <c r="K110" s="124">
        <f>J110</f>
        <v>1928.31</v>
      </c>
    </row>
    <row r="111" spans="1:11" s="52" customFormat="1" ht="15.75" x14ac:dyDescent="0.25">
      <c r="A111" s="200" t="s">
        <v>179</v>
      </c>
      <c r="B111" s="200"/>
      <c r="C111" s="51" t="s">
        <v>180</v>
      </c>
      <c r="D111" s="43">
        <f>SUM(D112)</f>
        <v>0</v>
      </c>
      <c r="E111" s="43">
        <f t="shared" ref="E111:K111" si="12">SUM(E112)</f>
        <v>0</v>
      </c>
      <c r="F111" s="43">
        <f t="shared" si="12"/>
        <v>0</v>
      </c>
      <c r="G111" s="41">
        <f>H111+I111+J111+K111</f>
        <v>0</v>
      </c>
      <c r="H111" s="126">
        <f t="shared" si="12"/>
        <v>0</v>
      </c>
      <c r="I111" s="126">
        <f t="shared" si="12"/>
        <v>0</v>
      </c>
      <c r="J111" s="126">
        <f t="shared" si="12"/>
        <v>0</v>
      </c>
      <c r="K111" s="126">
        <f t="shared" si="12"/>
        <v>0</v>
      </c>
    </row>
    <row r="112" spans="1:11" ht="15.75" x14ac:dyDescent="0.25">
      <c r="A112" s="199" t="s">
        <v>181</v>
      </c>
      <c r="B112" s="199"/>
      <c r="C112" s="44" t="s">
        <v>182</v>
      </c>
      <c r="D112" s="41">
        <v>0</v>
      </c>
      <c r="E112" s="41"/>
      <c r="F112" s="48"/>
      <c r="G112" s="40"/>
      <c r="H112" s="116"/>
      <c r="I112" s="116"/>
      <c r="J112" s="116"/>
      <c r="K112" s="124"/>
    </row>
    <row r="113" spans="1:11" ht="15.75" x14ac:dyDescent="0.25">
      <c r="A113" s="200" t="s">
        <v>183</v>
      </c>
      <c r="B113" s="200"/>
      <c r="C113" s="51" t="s">
        <v>184</v>
      </c>
      <c r="D113" s="43">
        <f>SUM(D115:D115)</f>
        <v>0</v>
      </c>
      <c r="E113" s="43">
        <f t="shared" ref="E113:K113" si="13">E114</f>
        <v>0</v>
      </c>
      <c r="F113" s="43">
        <f>F114+F115</f>
        <v>30879.8894</v>
      </c>
      <c r="G113" s="43">
        <f t="shared" si="13"/>
        <v>101836</v>
      </c>
      <c r="H113" s="126">
        <f t="shared" si="13"/>
        <v>25459</v>
      </c>
      <c r="I113" s="126">
        <f t="shared" si="13"/>
        <v>25459</v>
      </c>
      <c r="J113" s="126">
        <f t="shared" si="13"/>
        <v>25459</v>
      </c>
      <c r="K113" s="126">
        <f t="shared" si="13"/>
        <v>25459</v>
      </c>
    </row>
    <row r="114" spans="1:11" ht="29.1" customHeight="1" x14ac:dyDescent="0.25">
      <c r="A114" s="201" t="s">
        <v>185</v>
      </c>
      <c r="B114" s="202"/>
      <c r="C114" s="51"/>
      <c r="D114" s="43"/>
      <c r="E114" s="43">
        <v>0</v>
      </c>
      <c r="F114" s="41">
        <v>22561.8894</v>
      </c>
      <c r="G114" s="41">
        <f>H114+I114+J114+K114</f>
        <v>101836</v>
      </c>
      <c r="H114" s="116">
        <v>25459</v>
      </c>
      <c r="I114" s="116">
        <f>H114</f>
        <v>25459</v>
      </c>
      <c r="J114" s="116">
        <f t="shared" ref="J114" si="14">I114</f>
        <v>25459</v>
      </c>
      <c r="K114" s="116">
        <f t="shared" ref="K114" si="15">J114</f>
        <v>25459</v>
      </c>
    </row>
    <row r="115" spans="1:11" ht="19.5" customHeight="1" x14ac:dyDescent="0.25">
      <c r="A115" s="198" t="s">
        <v>186</v>
      </c>
      <c r="B115" s="198"/>
      <c r="C115" s="44" t="s">
        <v>187</v>
      </c>
      <c r="D115" s="54"/>
      <c r="E115" s="41"/>
      <c r="F115" s="41">
        <v>8318</v>
      </c>
      <c r="G115" s="41">
        <f>H115+I115+J115+K115</f>
        <v>8</v>
      </c>
      <c r="H115" s="116">
        <v>2</v>
      </c>
      <c r="I115" s="116">
        <v>2</v>
      </c>
      <c r="J115" s="116">
        <v>2</v>
      </c>
      <c r="K115" s="116">
        <v>2</v>
      </c>
    </row>
    <row r="116" spans="1:11" ht="15.75" x14ac:dyDescent="0.25">
      <c r="A116" s="189" t="s">
        <v>188</v>
      </c>
      <c r="B116" s="189"/>
      <c r="C116" s="38">
        <v>13</v>
      </c>
      <c r="D116" s="43">
        <f t="shared" ref="D116:K116" si="16">SUM(D117:D125)</f>
        <v>24353</v>
      </c>
      <c r="E116" s="42">
        <f t="shared" si="16"/>
        <v>20659</v>
      </c>
      <c r="F116" s="42">
        <f t="shared" si="16"/>
        <v>21139.200000000001</v>
      </c>
      <c r="G116" s="47">
        <f t="shared" si="16"/>
        <v>26000</v>
      </c>
      <c r="H116" s="127">
        <f t="shared" si="16"/>
        <v>6500</v>
      </c>
      <c r="I116" s="127">
        <f t="shared" si="16"/>
        <v>6500</v>
      </c>
      <c r="J116" s="127">
        <f t="shared" si="16"/>
        <v>6500</v>
      </c>
      <c r="K116" s="127">
        <f t="shared" si="16"/>
        <v>6500</v>
      </c>
    </row>
    <row r="117" spans="1:11" ht="15.75" x14ac:dyDescent="0.25">
      <c r="A117" s="199" t="s">
        <v>189</v>
      </c>
      <c r="B117" s="199"/>
      <c r="C117" s="44" t="s">
        <v>190</v>
      </c>
      <c r="D117" s="41">
        <v>0</v>
      </c>
      <c r="E117" s="53">
        <v>0</v>
      </c>
      <c r="F117" s="53">
        <f>G117+H117+I117+J117</f>
        <v>0</v>
      </c>
      <c r="G117" s="53">
        <f>H117+I117+J117+K117</f>
        <v>0</v>
      </c>
      <c r="H117" s="125">
        <v>0</v>
      </c>
      <c r="I117" s="125">
        <v>0</v>
      </c>
      <c r="J117" s="125">
        <v>0</v>
      </c>
      <c r="K117" s="125">
        <v>0</v>
      </c>
    </row>
    <row r="118" spans="1:11" ht="15.75" x14ac:dyDescent="0.25">
      <c r="A118" s="199" t="s">
        <v>191</v>
      </c>
      <c r="B118" s="199"/>
      <c r="C118" s="44" t="s">
        <v>192</v>
      </c>
      <c r="D118" s="41">
        <f>SUM(D117)</f>
        <v>0</v>
      </c>
      <c r="E118" s="53">
        <v>0</v>
      </c>
      <c r="F118" s="53">
        <f t="shared" ref="F118:G124" si="17">G118+H118+I118+J118</f>
        <v>0</v>
      </c>
      <c r="G118" s="53">
        <f t="shared" si="17"/>
        <v>0</v>
      </c>
      <c r="H118" s="125">
        <v>0</v>
      </c>
      <c r="I118" s="125">
        <v>0</v>
      </c>
      <c r="J118" s="125">
        <v>0</v>
      </c>
      <c r="K118" s="125">
        <v>0</v>
      </c>
    </row>
    <row r="119" spans="1:11" ht="15.75" x14ac:dyDescent="0.25">
      <c r="A119" s="199" t="s">
        <v>193</v>
      </c>
      <c r="B119" s="199"/>
      <c r="C119" s="44" t="s">
        <v>194</v>
      </c>
      <c r="D119" s="41">
        <v>0</v>
      </c>
      <c r="E119" s="53">
        <v>0</v>
      </c>
      <c r="F119" s="53">
        <f t="shared" si="17"/>
        <v>0</v>
      </c>
      <c r="G119" s="53">
        <f t="shared" si="17"/>
        <v>0</v>
      </c>
      <c r="H119" s="125">
        <v>0</v>
      </c>
      <c r="I119" s="125">
        <v>0</v>
      </c>
      <c r="J119" s="125">
        <v>0</v>
      </c>
      <c r="K119" s="125">
        <v>0</v>
      </c>
    </row>
    <row r="120" spans="1:11" ht="15.75" x14ac:dyDescent="0.25">
      <c r="A120" s="199" t="s">
        <v>195</v>
      </c>
      <c r="B120" s="199"/>
      <c r="C120" s="44" t="s">
        <v>196</v>
      </c>
      <c r="D120" s="41">
        <v>0</v>
      </c>
      <c r="E120" s="53">
        <v>0</v>
      </c>
      <c r="F120" s="53">
        <f t="shared" si="17"/>
        <v>0</v>
      </c>
      <c r="G120" s="53">
        <f t="shared" si="17"/>
        <v>0</v>
      </c>
      <c r="H120" s="125">
        <v>0</v>
      </c>
      <c r="I120" s="125">
        <v>0</v>
      </c>
      <c r="J120" s="125">
        <v>0</v>
      </c>
      <c r="K120" s="125">
        <v>0</v>
      </c>
    </row>
    <row r="121" spans="1:11" ht="15.75" x14ac:dyDescent="0.25">
      <c r="A121" s="199" t="s">
        <v>197</v>
      </c>
      <c r="B121" s="199"/>
      <c r="C121" s="44" t="s">
        <v>198</v>
      </c>
      <c r="D121" s="41">
        <v>0</v>
      </c>
      <c r="E121" s="53">
        <v>0</v>
      </c>
      <c r="F121" s="53">
        <f t="shared" si="17"/>
        <v>0</v>
      </c>
      <c r="G121" s="53">
        <f t="shared" si="17"/>
        <v>0</v>
      </c>
      <c r="H121" s="125">
        <v>0</v>
      </c>
      <c r="I121" s="125">
        <v>0</v>
      </c>
      <c r="J121" s="125">
        <v>0</v>
      </c>
      <c r="K121" s="125">
        <v>0</v>
      </c>
    </row>
    <row r="122" spans="1:11" ht="15.75" x14ac:dyDescent="0.25">
      <c r="A122" s="199" t="s">
        <v>199</v>
      </c>
      <c r="B122" s="199"/>
      <c r="C122" s="44" t="s">
        <v>200</v>
      </c>
      <c r="D122" s="41">
        <v>0</v>
      </c>
      <c r="E122" s="53">
        <v>0</v>
      </c>
      <c r="F122" s="53">
        <f t="shared" si="17"/>
        <v>0</v>
      </c>
      <c r="G122" s="53">
        <f t="shared" si="17"/>
        <v>0</v>
      </c>
      <c r="H122" s="125">
        <v>0</v>
      </c>
      <c r="I122" s="125">
        <v>0</v>
      </c>
      <c r="J122" s="125">
        <v>0</v>
      </c>
      <c r="K122" s="125">
        <v>0</v>
      </c>
    </row>
    <row r="123" spans="1:11" ht="15.75" x14ac:dyDescent="0.25">
      <c r="A123" s="199" t="s">
        <v>201</v>
      </c>
      <c r="B123" s="199"/>
      <c r="C123" s="44" t="s">
        <v>202</v>
      </c>
      <c r="D123" s="41">
        <v>0</v>
      </c>
      <c r="E123" s="53">
        <v>0</v>
      </c>
      <c r="F123" s="53">
        <f t="shared" si="17"/>
        <v>0</v>
      </c>
      <c r="G123" s="53">
        <f t="shared" si="17"/>
        <v>0</v>
      </c>
      <c r="H123" s="125">
        <v>0</v>
      </c>
      <c r="I123" s="125">
        <v>0</v>
      </c>
      <c r="J123" s="125">
        <v>0</v>
      </c>
      <c r="K123" s="125">
        <v>0</v>
      </c>
    </row>
    <row r="124" spans="1:11" ht="15.75" x14ac:dyDescent="0.25">
      <c r="A124" s="199" t="s">
        <v>203</v>
      </c>
      <c r="B124" s="199"/>
      <c r="C124" s="44" t="s">
        <v>204</v>
      </c>
      <c r="D124" s="41">
        <v>0</v>
      </c>
      <c r="E124" s="53">
        <v>0</v>
      </c>
      <c r="F124" s="53">
        <f t="shared" si="17"/>
        <v>0</v>
      </c>
      <c r="G124" s="53">
        <f t="shared" si="17"/>
        <v>0</v>
      </c>
      <c r="H124" s="125">
        <v>0</v>
      </c>
      <c r="I124" s="125">
        <v>0</v>
      </c>
      <c r="J124" s="125">
        <v>0</v>
      </c>
      <c r="K124" s="125">
        <v>0</v>
      </c>
    </row>
    <row r="125" spans="1:11" ht="31.5" customHeight="1" x14ac:dyDescent="0.25">
      <c r="A125" s="199" t="s">
        <v>205</v>
      </c>
      <c r="B125" s="199"/>
      <c r="C125" s="44" t="s">
        <v>206</v>
      </c>
      <c r="D125" s="54">
        <v>24353</v>
      </c>
      <c r="E125" s="41">
        <v>20659</v>
      </c>
      <c r="F125" s="41">
        <f>17616*1.2</f>
        <v>21139.200000000001</v>
      </c>
      <c r="G125" s="41">
        <f>H125+I125+J125+K125</f>
        <v>26000</v>
      </c>
      <c r="H125" s="116">
        <v>6500</v>
      </c>
      <c r="I125" s="116">
        <f>H125</f>
        <v>6500</v>
      </c>
      <c r="J125" s="116">
        <f>I125</f>
        <v>6500</v>
      </c>
      <c r="K125" s="116">
        <f>J125</f>
        <v>6500</v>
      </c>
    </row>
    <row r="126" spans="1:11" ht="15.75" x14ac:dyDescent="0.25">
      <c r="A126" s="200" t="s">
        <v>207</v>
      </c>
      <c r="B126" s="200"/>
      <c r="C126" s="51" t="s">
        <v>208</v>
      </c>
      <c r="D126" s="55">
        <f>D80+D108+D111+D113-D81-D100-D116+1</f>
        <v>-98178.576559999987</v>
      </c>
      <c r="E126" s="42">
        <f t="shared" ref="E126:K126" si="18">E80+E108+E111+E113-E81-E100-E116</f>
        <v>-65551.8</v>
      </c>
      <c r="F126" s="42">
        <f t="shared" si="18"/>
        <v>-10089.337744099992</v>
      </c>
      <c r="G126" s="55">
        <f t="shared" si="18"/>
        <v>-12372.499999999987</v>
      </c>
      <c r="H126" s="128">
        <f t="shared" si="18"/>
        <v>-3776.2699999999986</v>
      </c>
      <c r="I126" s="128">
        <f t="shared" si="18"/>
        <v>-2347.1799999999948</v>
      </c>
      <c r="J126" s="128">
        <f t="shared" si="18"/>
        <v>-2379.979999999995</v>
      </c>
      <c r="K126" s="128">
        <f t="shared" si="18"/>
        <v>-3869.0699999999988</v>
      </c>
    </row>
    <row r="127" spans="1:11" ht="15.75" x14ac:dyDescent="0.25">
      <c r="A127" s="200" t="s">
        <v>209</v>
      </c>
      <c r="B127" s="200"/>
      <c r="C127" s="51" t="s">
        <v>210</v>
      </c>
      <c r="D127" s="40"/>
      <c r="E127" s="41"/>
      <c r="F127" s="48"/>
      <c r="G127" s="40"/>
      <c r="H127" s="113"/>
      <c r="I127" s="113"/>
      <c r="J127" s="113"/>
      <c r="K127" s="114"/>
    </row>
    <row r="128" spans="1:11" ht="15.75" x14ac:dyDescent="0.25">
      <c r="A128" s="189" t="s">
        <v>211</v>
      </c>
      <c r="B128" s="189"/>
      <c r="C128" s="38">
        <v>16</v>
      </c>
      <c r="D128" s="40"/>
      <c r="E128" s="41"/>
      <c r="F128" s="48"/>
      <c r="G128" s="40"/>
      <c r="H128" s="113"/>
      <c r="I128" s="113"/>
      <c r="J128" s="113"/>
      <c r="K128" s="114"/>
    </row>
    <row r="129" spans="1:11" ht="15.75" x14ac:dyDescent="0.25">
      <c r="A129" s="200" t="s">
        <v>212</v>
      </c>
      <c r="B129" s="200"/>
      <c r="C129" s="51" t="s">
        <v>213</v>
      </c>
      <c r="D129" s="40"/>
      <c r="E129" s="41"/>
      <c r="F129" s="48"/>
      <c r="G129" s="40"/>
      <c r="H129" s="113"/>
      <c r="I129" s="113"/>
      <c r="J129" s="113"/>
      <c r="K129" s="114"/>
    </row>
    <row r="130" spans="1:11" ht="15.75" x14ac:dyDescent="0.25">
      <c r="A130" s="200" t="s">
        <v>214</v>
      </c>
      <c r="B130" s="200"/>
      <c r="C130" s="51" t="s">
        <v>215</v>
      </c>
      <c r="D130" s="40"/>
      <c r="E130" s="41"/>
      <c r="F130" s="48"/>
      <c r="G130" s="40"/>
      <c r="H130" s="113"/>
      <c r="I130" s="113"/>
      <c r="J130" s="113"/>
      <c r="K130" s="114"/>
    </row>
    <row r="131" spans="1:11" ht="15.75" x14ac:dyDescent="0.25">
      <c r="A131" s="200" t="s">
        <v>216</v>
      </c>
      <c r="B131" s="200"/>
      <c r="C131" s="51" t="s">
        <v>217</v>
      </c>
      <c r="D131" s="43">
        <f t="shared" ref="D131:K131" si="19">SUM(D132:D133)</f>
        <v>99113.994000000006</v>
      </c>
      <c r="E131" s="42">
        <f>SUM(E132:E133)</f>
        <v>65665</v>
      </c>
      <c r="F131" s="43">
        <f>SUM(F132:F133)</f>
        <v>10814.047399999999</v>
      </c>
      <c r="G131" s="43">
        <f t="shared" si="19"/>
        <v>13200</v>
      </c>
      <c r="H131" s="115">
        <f t="shared" si="19"/>
        <v>3300</v>
      </c>
      <c r="I131" s="115">
        <f t="shared" si="19"/>
        <v>3300</v>
      </c>
      <c r="J131" s="115">
        <f t="shared" si="19"/>
        <v>3300</v>
      </c>
      <c r="K131" s="115">
        <f t="shared" si="19"/>
        <v>3300</v>
      </c>
    </row>
    <row r="132" spans="1:11" ht="47.1" customHeight="1" x14ac:dyDescent="0.25">
      <c r="A132" s="199" t="s">
        <v>218</v>
      </c>
      <c r="B132" s="199"/>
      <c r="C132" s="44" t="s">
        <v>219</v>
      </c>
      <c r="D132" s="54">
        <v>10652.349</v>
      </c>
      <c r="E132" s="41">
        <v>12970</v>
      </c>
      <c r="F132" s="41">
        <f>8318.498*1.3</f>
        <v>10814.047399999999</v>
      </c>
      <c r="G132" s="41">
        <f>H132+I132+K132+J132</f>
        <v>13200</v>
      </c>
      <c r="H132" s="116">
        <v>3300</v>
      </c>
      <c r="I132" s="116">
        <f>H132</f>
        <v>3300</v>
      </c>
      <c r="J132" s="116">
        <f t="shared" ref="J132:K133" si="20">I132</f>
        <v>3300</v>
      </c>
      <c r="K132" s="116">
        <f t="shared" si="20"/>
        <v>3300</v>
      </c>
    </row>
    <row r="133" spans="1:11" ht="15.75" x14ac:dyDescent="0.25">
      <c r="A133" s="199" t="s">
        <v>220</v>
      </c>
      <c r="B133" s="199"/>
      <c r="C133" s="44" t="s">
        <v>221</v>
      </c>
      <c r="D133" s="54">
        <v>88461.645000000004</v>
      </c>
      <c r="E133" s="41">
        <v>52695</v>
      </c>
      <c r="F133" s="41">
        <v>0</v>
      </c>
      <c r="G133" s="41">
        <f>H133+I133+K133+J133</f>
        <v>0</v>
      </c>
      <c r="H133" s="116">
        <v>0</v>
      </c>
      <c r="I133" s="116">
        <v>0</v>
      </c>
      <c r="J133" s="116">
        <f t="shared" si="20"/>
        <v>0</v>
      </c>
      <c r="K133" s="116">
        <f t="shared" si="20"/>
        <v>0</v>
      </c>
    </row>
    <row r="134" spans="1:11" s="111" customFormat="1" ht="15.75" x14ac:dyDescent="0.25">
      <c r="A134" s="200" t="s">
        <v>222</v>
      </c>
      <c r="B134" s="200"/>
      <c r="C134" s="51" t="s">
        <v>223</v>
      </c>
      <c r="D134" s="47">
        <f t="shared" ref="D134:K134" si="21">SUM(D135:D138)</f>
        <v>3584</v>
      </c>
      <c r="E134" s="43">
        <f>SUM(E135:E138)</f>
        <v>0</v>
      </c>
      <c r="F134" s="43">
        <f t="shared" si="21"/>
        <v>62</v>
      </c>
      <c r="G134" s="47">
        <f t="shared" si="21"/>
        <v>63.2</v>
      </c>
      <c r="H134" s="130">
        <f t="shared" si="21"/>
        <v>15.8</v>
      </c>
      <c r="I134" s="130">
        <f>SUM(I135:I138)</f>
        <v>15.8</v>
      </c>
      <c r="J134" s="130">
        <f t="shared" si="21"/>
        <v>15.8</v>
      </c>
      <c r="K134" s="130">
        <f t="shared" si="21"/>
        <v>15.8</v>
      </c>
    </row>
    <row r="135" spans="1:11" ht="15.75" x14ac:dyDescent="0.25">
      <c r="A135" s="199" t="s">
        <v>224</v>
      </c>
      <c r="B135" s="199"/>
      <c r="C135" s="44" t="s">
        <v>225</v>
      </c>
      <c r="D135" s="40"/>
      <c r="E135" s="41"/>
      <c r="F135" s="48"/>
      <c r="G135" s="40"/>
      <c r="H135" s="113"/>
      <c r="I135" s="113"/>
      <c r="J135" s="113"/>
      <c r="K135" s="114"/>
    </row>
    <row r="136" spans="1:11" ht="15.75" x14ac:dyDescent="0.25">
      <c r="A136" s="199" t="s">
        <v>226</v>
      </c>
      <c r="B136" s="199"/>
      <c r="C136" s="44" t="s">
        <v>227</v>
      </c>
      <c r="D136" s="40"/>
      <c r="E136" s="41"/>
      <c r="F136" s="48"/>
      <c r="G136" s="40"/>
      <c r="H136" s="113"/>
      <c r="I136" s="113"/>
      <c r="J136" s="113"/>
      <c r="K136" s="114"/>
    </row>
    <row r="137" spans="1:11" ht="15.75" x14ac:dyDescent="0.25">
      <c r="A137" s="199" t="s">
        <v>228</v>
      </c>
      <c r="B137" s="199"/>
      <c r="C137" s="44" t="s">
        <v>229</v>
      </c>
      <c r="D137" s="40"/>
      <c r="E137" s="41"/>
      <c r="F137" s="48"/>
      <c r="G137" s="40"/>
      <c r="H137" s="113"/>
      <c r="I137" s="113"/>
      <c r="J137" s="113"/>
      <c r="K137" s="114"/>
    </row>
    <row r="138" spans="1:11" ht="15.75" x14ac:dyDescent="0.25">
      <c r="A138" s="199" t="s">
        <v>230</v>
      </c>
      <c r="B138" s="199"/>
      <c r="C138" s="44" t="s">
        <v>231</v>
      </c>
      <c r="D138" s="54">
        <v>3584</v>
      </c>
      <c r="E138" s="41"/>
      <c r="F138" s="48">
        <f>31*2</f>
        <v>62</v>
      </c>
      <c r="G138" s="40">
        <f>H138+I138+J138+K138</f>
        <v>63.2</v>
      </c>
      <c r="H138" s="113">
        <v>15.8</v>
      </c>
      <c r="I138" s="113">
        <v>15.8</v>
      </c>
      <c r="J138" s="113">
        <v>15.8</v>
      </c>
      <c r="K138" s="114">
        <v>15.8</v>
      </c>
    </row>
    <row r="139" spans="1:11" ht="30" customHeight="1" x14ac:dyDescent="0.25">
      <c r="A139" s="200" t="s">
        <v>232</v>
      </c>
      <c r="B139" s="200"/>
      <c r="C139" s="51" t="s">
        <v>233</v>
      </c>
      <c r="D139" s="47">
        <f>D126+D127+D129+D131-D128-D130-D134</f>
        <v>-2648.5825599999807</v>
      </c>
      <c r="E139" s="42">
        <f>E126+E127+E129+E131-E128-E130-E134</f>
        <v>113.19999999999709</v>
      </c>
      <c r="F139" s="42">
        <f>F126+F127+F129+F131-F128-F130-F134</f>
        <v>662.70965590000742</v>
      </c>
      <c r="G139" s="47">
        <f>G126+G127+G129+G131-G128-G130-G134</f>
        <v>764.30000000001269</v>
      </c>
      <c r="H139" s="127">
        <f>H126+H127+H129+H131-H128-H130-H134</f>
        <v>-492.06999999999863</v>
      </c>
      <c r="I139" s="127">
        <f t="shared" ref="I139:K139" si="22">I126+I127+I129+I131-I128-I130-I134</f>
        <v>937.02000000000521</v>
      </c>
      <c r="J139" s="127">
        <f t="shared" si="22"/>
        <v>904.22000000000503</v>
      </c>
      <c r="K139" s="127">
        <f t="shared" si="22"/>
        <v>-584.86999999999875</v>
      </c>
    </row>
    <row r="140" spans="1:11" ht="15.75" x14ac:dyDescent="0.25">
      <c r="A140" s="200" t="s">
        <v>234</v>
      </c>
      <c r="B140" s="200"/>
      <c r="C140" s="51" t="s">
        <v>235</v>
      </c>
      <c r="D140" s="40">
        <v>0</v>
      </c>
      <c r="E140" s="41">
        <f t="shared" ref="E140:K140" si="23">E139*0.18</f>
        <v>20.375999999999475</v>
      </c>
      <c r="F140" s="48">
        <f t="shared" si="23"/>
        <v>119.28773806200132</v>
      </c>
      <c r="G140" s="40">
        <f t="shared" si="23"/>
        <v>137.57400000000229</v>
      </c>
      <c r="H140" s="113">
        <f t="shared" si="23"/>
        <v>-88.572599999999753</v>
      </c>
      <c r="I140" s="113">
        <f t="shared" si="23"/>
        <v>168.66360000000094</v>
      </c>
      <c r="J140" s="113">
        <f t="shared" si="23"/>
        <v>162.75960000000089</v>
      </c>
      <c r="K140" s="114">
        <f t="shared" si="23"/>
        <v>-105.27659999999977</v>
      </c>
    </row>
    <row r="141" spans="1:11" ht="15.75" x14ac:dyDescent="0.25">
      <c r="A141" s="200" t="s">
        <v>236</v>
      </c>
      <c r="B141" s="200"/>
      <c r="C141" s="51" t="s">
        <v>237</v>
      </c>
      <c r="D141" s="40"/>
      <c r="E141" s="41"/>
      <c r="F141" s="48"/>
      <c r="G141" s="40"/>
      <c r="H141" s="113"/>
      <c r="I141" s="113"/>
      <c r="J141" s="113"/>
      <c r="K141" s="114"/>
    </row>
    <row r="142" spans="1:11" ht="15.75" x14ac:dyDescent="0.25">
      <c r="A142" s="199" t="s">
        <v>238</v>
      </c>
      <c r="B142" s="199"/>
      <c r="C142" s="44" t="s">
        <v>239</v>
      </c>
      <c r="D142" s="40"/>
      <c r="E142" s="41"/>
      <c r="F142" s="48"/>
      <c r="G142" s="40"/>
      <c r="H142" s="113"/>
      <c r="I142" s="113"/>
      <c r="J142" s="113"/>
      <c r="K142" s="114"/>
    </row>
    <row r="143" spans="1:11" ht="15.75" x14ac:dyDescent="0.25">
      <c r="A143" s="199" t="s">
        <v>240</v>
      </c>
      <c r="B143" s="199"/>
      <c r="C143" s="44" t="s">
        <v>241</v>
      </c>
      <c r="D143" s="40"/>
      <c r="E143" s="41"/>
      <c r="F143" s="48"/>
      <c r="G143" s="40"/>
      <c r="H143" s="113"/>
      <c r="I143" s="113"/>
      <c r="J143" s="113"/>
      <c r="K143" s="113"/>
    </row>
    <row r="144" spans="1:11" ht="15.75" x14ac:dyDescent="0.25">
      <c r="A144" s="200" t="s">
        <v>242</v>
      </c>
      <c r="B144" s="200"/>
      <c r="C144" s="51" t="s">
        <v>243</v>
      </c>
      <c r="D144" s="40"/>
      <c r="E144" s="41"/>
      <c r="F144" s="48"/>
      <c r="G144" s="40"/>
      <c r="H144" s="113"/>
      <c r="I144" s="113"/>
      <c r="J144" s="113"/>
      <c r="K144" s="114"/>
    </row>
    <row r="145" spans="1:11" ht="15.75" x14ac:dyDescent="0.25">
      <c r="A145" s="200" t="s">
        <v>244</v>
      </c>
      <c r="B145" s="200"/>
      <c r="C145" s="51" t="s">
        <v>245</v>
      </c>
      <c r="D145" s="40"/>
      <c r="E145" s="41"/>
      <c r="F145" s="48"/>
      <c r="G145" s="40"/>
      <c r="H145" s="113"/>
      <c r="I145" s="113"/>
      <c r="J145" s="113"/>
      <c r="K145" s="114"/>
    </row>
    <row r="146" spans="1:11" ht="15.75" x14ac:dyDescent="0.25">
      <c r="A146" s="200" t="s">
        <v>246</v>
      </c>
      <c r="B146" s="200"/>
      <c r="C146" s="51" t="s">
        <v>247</v>
      </c>
      <c r="D146" s="40"/>
      <c r="E146" s="41"/>
      <c r="F146" s="48"/>
      <c r="G146" s="40"/>
      <c r="H146" s="113"/>
      <c r="I146" s="113"/>
      <c r="J146" s="113"/>
      <c r="K146" s="114"/>
    </row>
    <row r="147" spans="1:11" ht="15.75" x14ac:dyDescent="0.25">
      <c r="A147" s="200" t="s">
        <v>248</v>
      </c>
      <c r="B147" s="200"/>
      <c r="C147" s="51" t="s">
        <v>249</v>
      </c>
      <c r="D147" s="47">
        <f>D139+D142+D144-D140-D143-D145-D146</f>
        <v>-2648.5825599999807</v>
      </c>
      <c r="E147" s="42">
        <f>E139+E142+E144-E140-E143-E145-E146</f>
        <v>92.823999999997611</v>
      </c>
      <c r="F147" s="42">
        <f>F139+F142+F144-F140-F143-F145-F146</f>
        <v>543.42191783800604</v>
      </c>
      <c r="G147" s="47">
        <f>G139+G142+G144-G140-G143-G145-G146</f>
        <v>626.72600000001034</v>
      </c>
      <c r="H147" s="129">
        <f>H139+H142+H144-H140-H143-H145-H146</f>
        <v>-403.49739999999889</v>
      </c>
      <c r="I147" s="129">
        <f t="shared" ref="I147:J147" si="24">I139+I142+I144-I140-I143-I145-I146</f>
        <v>768.35640000000421</v>
      </c>
      <c r="J147" s="129">
        <f t="shared" si="24"/>
        <v>741.46040000000414</v>
      </c>
      <c r="K147" s="129">
        <f>K139+K142+K144-K140-K143-K145-K146+0.5</f>
        <v>-479.09339999999895</v>
      </c>
    </row>
    <row r="148" spans="1:11" ht="15.75" x14ac:dyDescent="0.25">
      <c r="A148" s="199" t="s">
        <v>250</v>
      </c>
      <c r="B148" s="199"/>
      <c r="C148" s="44" t="s">
        <v>251</v>
      </c>
      <c r="D148" s="40">
        <f t="shared" ref="D148:K148" si="25">IF(D147&gt;=0,D147,0)</f>
        <v>0</v>
      </c>
      <c r="E148" s="41">
        <f t="shared" si="25"/>
        <v>92.823999999997611</v>
      </c>
      <c r="F148" s="41">
        <f t="shared" si="25"/>
        <v>543.42191783800604</v>
      </c>
      <c r="G148" s="40">
        <f t="shared" si="25"/>
        <v>626.72600000001034</v>
      </c>
      <c r="H148" s="125">
        <f t="shared" si="25"/>
        <v>0</v>
      </c>
      <c r="I148" s="125">
        <f t="shared" si="25"/>
        <v>768.35640000000421</v>
      </c>
      <c r="J148" s="125">
        <f t="shared" si="25"/>
        <v>741.46040000000414</v>
      </c>
      <c r="K148" s="125">
        <f t="shared" si="25"/>
        <v>0</v>
      </c>
    </row>
    <row r="149" spans="1:11" ht="15.75" x14ac:dyDescent="0.25">
      <c r="A149" s="199" t="s">
        <v>252</v>
      </c>
      <c r="B149" s="199"/>
      <c r="C149" s="44" t="s">
        <v>253</v>
      </c>
      <c r="D149" s="40">
        <f t="shared" ref="D149:K149" si="26">IF(D147&lt;0,D147,0)</f>
        <v>-2648.5825599999807</v>
      </c>
      <c r="E149" s="41">
        <f t="shared" si="26"/>
        <v>0</v>
      </c>
      <c r="F149" s="48">
        <f t="shared" si="26"/>
        <v>0</v>
      </c>
      <c r="G149" s="40">
        <f t="shared" si="26"/>
        <v>0</v>
      </c>
      <c r="H149" s="125">
        <f t="shared" si="26"/>
        <v>-403.49739999999889</v>
      </c>
      <c r="I149" s="125">
        <f t="shared" si="26"/>
        <v>0</v>
      </c>
      <c r="J149" s="125">
        <f t="shared" si="26"/>
        <v>0</v>
      </c>
      <c r="K149" s="125">
        <f t="shared" si="26"/>
        <v>-479.09339999999895</v>
      </c>
    </row>
    <row r="150" spans="1:11" s="111" customFormat="1" ht="15.75" x14ac:dyDescent="0.25">
      <c r="A150" s="200" t="s">
        <v>254</v>
      </c>
      <c r="B150" s="200"/>
      <c r="C150" s="38">
        <v>28</v>
      </c>
      <c r="D150" s="43">
        <f>D62+D108+D111+D113+D127+D129+D131+D142+D144</f>
        <v>158895.76430000001</v>
      </c>
      <c r="E150" s="43">
        <f>E62+E108+E111+E127+E129+E131+E142+E144</f>
        <v>155994</v>
      </c>
      <c r="F150" s="43">
        <f t="shared" ref="F150:K150" si="27">F62+F108+F113+F127+F129+F131+F142+F144</f>
        <v>132082.4561175</v>
      </c>
      <c r="G150" s="47">
        <f>G62+G108+G113+G127+G129+G131+G142+G144</f>
        <v>213585.82</v>
      </c>
      <c r="H150" s="115">
        <f t="shared" si="27"/>
        <v>52711.91</v>
      </c>
      <c r="I150" s="115">
        <f t="shared" si="27"/>
        <v>54141</v>
      </c>
      <c r="J150" s="115">
        <f t="shared" si="27"/>
        <v>54111</v>
      </c>
      <c r="K150" s="115">
        <f t="shared" si="27"/>
        <v>52621.91</v>
      </c>
    </row>
    <row r="151" spans="1:11" ht="15.75" x14ac:dyDescent="0.25">
      <c r="A151" s="200" t="s">
        <v>255</v>
      </c>
      <c r="B151" s="200"/>
      <c r="C151" s="38">
        <v>29</v>
      </c>
      <c r="D151" s="43">
        <f t="shared" ref="D151:K151" si="28">D72+D81+D100+D116+D128+D130+D134+D140+D143+D145+D146</f>
        <v>161545.34685999999</v>
      </c>
      <c r="E151" s="59">
        <f t="shared" si="28"/>
        <v>155901.17599999998</v>
      </c>
      <c r="F151" s="59">
        <f t="shared" si="28"/>
        <v>131539.03419966201</v>
      </c>
      <c r="G151" s="47">
        <f>G72+G81+G100+G116+G128+G130+G134+G140+G143+G145+G146</f>
        <v>212959.09400000001</v>
      </c>
      <c r="H151" s="115">
        <f t="shared" si="28"/>
        <v>53115.407400000004</v>
      </c>
      <c r="I151" s="115">
        <f t="shared" si="28"/>
        <v>53372.643600000003</v>
      </c>
      <c r="J151" s="115">
        <f t="shared" si="28"/>
        <v>53369.539599999996</v>
      </c>
      <c r="K151" s="115">
        <f t="shared" si="28"/>
        <v>53101.503400000001</v>
      </c>
    </row>
    <row r="152" spans="1:11" ht="15.75" x14ac:dyDescent="0.25">
      <c r="A152" s="203" t="s">
        <v>256</v>
      </c>
      <c r="B152" s="194"/>
      <c r="C152" s="194"/>
      <c r="D152" s="194"/>
      <c r="E152" s="194"/>
      <c r="F152" s="194"/>
      <c r="G152" s="194"/>
      <c r="H152" s="194"/>
      <c r="I152" s="194"/>
      <c r="J152" s="194"/>
      <c r="K152" s="195"/>
    </row>
    <row r="153" spans="1:11" ht="15.75" x14ac:dyDescent="0.25">
      <c r="A153" s="189" t="s">
        <v>257</v>
      </c>
      <c r="B153" s="189"/>
      <c r="C153" s="38">
        <v>30</v>
      </c>
      <c r="D153" s="43">
        <v>0</v>
      </c>
      <c r="E153" s="42">
        <f>E154</f>
        <v>46.411999999998805</v>
      </c>
      <c r="F153" s="42">
        <f>F154</f>
        <v>271.71095891900302</v>
      </c>
      <c r="G153" s="47">
        <f t="shared" ref="G153:K153" si="29">G154</f>
        <v>313.36300000000517</v>
      </c>
      <c r="H153" s="127">
        <f>H154</f>
        <v>-201.74869999999945</v>
      </c>
      <c r="I153" s="127">
        <f>I154</f>
        <v>384.17820000000211</v>
      </c>
      <c r="J153" s="127">
        <f t="shared" si="29"/>
        <v>370.73020000000207</v>
      </c>
      <c r="K153" s="127">
        <f t="shared" si="29"/>
        <v>-239.54669999999948</v>
      </c>
    </row>
    <row r="154" spans="1:11" ht="15.75" x14ac:dyDescent="0.25">
      <c r="A154" s="192" t="s">
        <v>258</v>
      </c>
      <c r="B154" s="192"/>
      <c r="C154" s="44" t="s">
        <v>259</v>
      </c>
      <c r="D154" s="41">
        <v>0</v>
      </c>
      <c r="E154" s="48">
        <f>E147/2</f>
        <v>46.411999999998805</v>
      </c>
      <c r="F154" s="48">
        <f>F147/2</f>
        <v>271.71095891900302</v>
      </c>
      <c r="G154" s="40">
        <f>G147/2</f>
        <v>313.36300000000517</v>
      </c>
      <c r="H154" s="117">
        <f>H147/2</f>
        <v>-201.74869999999945</v>
      </c>
      <c r="I154" s="117">
        <f t="shared" ref="I154:K154" si="30">I147/2</f>
        <v>384.17820000000211</v>
      </c>
      <c r="J154" s="117">
        <f t="shared" si="30"/>
        <v>370.73020000000207</v>
      </c>
      <c r="K154" s="117">
        <f t="shared" si="30"/>
        <v>-239.54669999999948</v>
      </c>
    </row>
    <row r="155" spans="1:11" ht="33.950000000000003" customHeight="1" x14ac:dyDescent="0.25">
      <c r="A155" s="189" t="s">
        <v>260</v>
      </c>
      <c r="B155" s="189"/>
      <c r="C155" s="38">
        <v>31</v>
      </c>
      <c r="D155" s="43"/>
      <c r="E155" s="43"/>
      <c r="F155" s="42"/>
      <c r="G155" s="47"/>
      <c r="H155" s="130"/>
      <c r="I155" s="130"/>
      <c r="J155" s="130"/>
      <c r="K155" s="131"/>
    </row>
    <row r="156" spans="1:11" ht="15.75" x14ac:dyDescent="0.25">
      <c r="A156" s="189" t="s">
        <v>261</v>
      </c>
      <c r="B156" s="189"/>
      <c r="C156" s="38">
        <v>32</v>
      </c>
      <c r="D156" s="43">
        <f t="shared" ref="D156:K156" si="31">SUM(D157:D160)</f>
        <v>0</v>
      </c>
      <c r="E156" s="42">
        <f t="shared" si="31"/>
        <v>0</v>
      </c>
      <c r="F156" s="42">
        <f t="shared" si="31"/>
        <v>0</v>
      </c>
      <c r="G156" s="47">
        <f t="shared" si="31"/>
        <v>0</v>
      </c>
      <c r="H156" s="130">
        <f t="shared" si="31"/>
        <v>0</v>
      </c>
      <c r="I156" s="130">
        <f t="shared" si="31"/>
        <v>0</v>
      </c>
      <c r="J156" s="130">
        <f t="shared" si="31"/>
        <v>0</v>
      </c>
      <c r="K156" s="130">
        <f t="shared" si="31"/>
        <v>0</v>
      </c>
    </row>
    <row r="157" spans="1:11" ht="15.75" x14ac:dyDescent="0.25">
      <c r="A157" s="192" t="s">
        <v>262</v>
      </c>
      <c r="B157" s="192"/>
      <c r="C157" s="60" t="s">
        <v>263</v>
      </c>
      <c r="D157" s="41"/>
      <c r="E157" s="41"/>
      <c r="F157" s="48"/>
      <c r="G157" s="40"/>
      <c r="H157" s="113"/>
      <c r="I157" s="113"/>
      <c r="J157" s="113"/>
      <c r="K157" s="114"/>
    </row>
    <row r="158" spans="1:11" ht="15.75" x14ac:dyDescent="0.25">
      <c r="A158" s="192" t="s">
        <v>264</v>
      </c>
      <c r="B158" s="192"/>
      <c r="C158" s="60" t="s">
        <v>265</v>
      </c>
      <c r="D158" s="41"/>
      <c r="E158" s="41"/>
      <c r="F158" s="48"/>
      <c r="G158" s="40"/>
      <c r="H158" s="113"/>
      <c r="I158" s="113"/>
      <c r="J158" s="113"/>
      <c r="K158" s="114"/>
    </row>
    <row r="159" spans="1:11" ht="15.75" x14ac:dyDescent="0.25">
      <c r="A159" s="192" t="s">
        <v>266</v>
      </c>
      <c r="B159" s="192"/>
      <c r="C159" s="60" t="s">
        <v>267</v>
      </c>
      <c r="D159" s="41"/>
      <c r="E159" s="41"/>
      <c r="F159" s="48"/>
      <c r="G159" s="40"/>
      <c r="H159" s="113"/>
      <c r="I159" s="113"/>
      <c r="J159" s="113"/>
      <c r="K159" s="114"/>
    </row>
    <row r="160" spans="1:11" ht="15.75" x14ac:dyDescent="0.25">
      <c r="A160" s="192" t="s">
        <v>268</v>
      </c>
      <c r="B160" s="192"/>
      <c r="C160" s="60" t="s">
        <v>269</v>
      </c>
      <c r="D160" s="41"/>
      <c r="E160" s="41"/>
      <c r="F160" s="48"/>
      <c r="G160" s="40"/>
      <c r="H160" s="113"/>
      <c r="I160" s="113"/>
      <c r="J160" s="113"/>
      <c r="K160" s="114"/>
    </row>
    <row r="161" spans="1:11" ht="33.950000000000003" customHeight="1" x14ac:dyDescent="0.25">
      <c r="A161" s="189" t="s">
        <v>270</v>
      </c>
      <c r="B161" s="189"/>
      <c r="C161" s="38">
        <v>33</v>
      </c>
      <c r="D161" s="43">
        <f t="shared" ref="D161:K161" si="32">D155+D147-D153-D156</f>
        <v>-2648.5825599999807</v>
      </c>
      <c r="E161" s="42">
        <f>E155+E147-E153-E156</f>
        <v>46.411999999998805</v>
      </c>
      <c r="F161" s="42">
        <f>F155+F147-F153-F156</f>
        <v>271.71095891900302</v>
      </c>
      <c r="G161" s="47">
        <f>G155+G147-G153-G156</f>
        <v>313.36300000000517</v>
      </c>
      <c r="H161" s="127">
        <f>H155+H147-H153-H156</f>
        <v>-201.74869999999945</v>
      </c>
      <c r="I161" s="127">
        <f t="shared" si="32"/>
        <v>384.17820000000211</v>
      </c>
      <c r="J161" s="127">
        <f t="shared" si="32"/>
        <v>370.73020000000207</v>
      </c>
      <c r="K161" s="127">
        <f t="shared" si="32"/>
        <v>-239.54669999999948</v>
      </c>
    </row>
    <row r="162" spans="1:11" ht="15.75" x14ac:dyDescent="0.25">
      <c r="A162" s="203" t="s">
        <v>271</v>
      </c>
      <c r="B162" s="194"/>
      <c r="C162" s="194"/>
      <c r="D162" s="194"/>
      <c r="E162" s="194"/>
      <c r="F162" s="194"/>
      <c r="G162" s="194"/>
      <c r="H162" s="194"/>
      <c r="I162" s="194"/>
      <c r="J162" s="194"/>
      <c r="K162" s="195"/>
    </row>
    <row r="163" spans="1:11" ht="30.75" customHeight="1" x14ac:dyDescent="0.25">
      <c r="A163" s="189" t="s">
        <v>272</v>
      </c>
      <c r="B163" s="189"/>
      <c r="C163" s="38">
        <v>34</v>
      </c>
      <c r="D163" s="43">
        <f t="shared" ref="D163:K163" si="33">SUM(D164:D169)</f>
        <v>0</v>
      </c>
      <c r="E163" s="43">
        <f t="shared" si="33"/>
        <v>8662.354159999999</v>
      </c>
      <c r="F163" s="42">
        <f>SUM(F164:F170)</f>
        <v>1194</v>
      </c>
      <c r="G163" s="47">
        <f>SUM(G164:G170)</f>
        <v>10151.996000000003</v>
      </c>
      <c r="H163" s="115">
        <f t="shared" si="33"/>
        <v>1849.5199999999998</v>
      </c>
      <c r="I163" s="115">
        <f t="shared" si="33"/>
        <v>2871.1380000000008</v>
      </c>
      <c r="J163" s="115">
        <f t="shared" si="33"/>
        <v>2864.5780000000013</v>
      </c>
      <c r="K163" s="115">
        <f t="shared" si="33"/>
        <v>2566.7600000000007</v>
      </c>
    </row>
    <row r="164" spans="1:11" ht="17.100000000000001" customHeight="1" x14ac:dyDescent="0.25">
      <c r="A164" s="192" t="s">
        <v>273</v>
      </c>
      <c r="B164" s="192"/>
      <c r="C164" s="60" t="s">
        <v>274</v>
      </c>
      <c r="D164" s="41">
        <f>D148*0.18/2</f>
        <v>0</v>
      </c>
      <c r="E164" s="41">
        <f>E148*0.18/2</f>
        <v>8.3541599999997853</v>
      </c>
      <c r="F164" s="48">
        <f>F59</f>
        <v>0</v>
      </c>
      <c r="G164" s="40">
        <f>H164+I164+J164+K164</f>
        <v>8951.9960000000028</v>
      </c>
      <c r="H164" s="116">
        <f>H59</f>
        <v>1549.5199999999998</v>
      </c>
      <c r="I164" s="116">
        <f t="shared" ref="I164:K164" si="34">I59</f>
        <v>2571.1380000000008</v>
      </c>
      <c r="J164" s="116">
        <f t="shared" si="34"/>
        <v>2564.5780000000013</v>
      </c>
      <c r="K164" s="116">
        <f t="shared" si="34"/>
        <v>2266.7600000000007</v>
      </c>
    </row>
    <row r="165" spans="1:11" ht="20.100000000000001" customHeight="1" x14ac:dyDescent="0.25">
      <c r="A165" s="204" t="s">
        <v>275</v>
      </c>
      <c r="B165" s="204"/>
      <c r="C165" s="60" t="s">
        <v>276</v>
      </c>
      <c r="D165" s="41">
        <f>D59</f>
        <v>0</v>
      </c>
      <c r="E165" s="41">
        <v>8654</v>
      </c>
      <c r="F165" s="41">
        <f>F59</f>
        <v>0</v>
      </c>
      <c r="G165" s="41">
        <v>0</v>
      </c>
      <c r="H165" s="122">
        <v>0</v>
      </c>
      <c r="I165" s="122">
        <v>0</v>
      </c>
      <c r="J165" s="122">
        <v>0</v>
      </c>
      <c r="K165" s="122">
        <v>0</v>
      </c>
    </row>
    <row r="166" spans="1:11" ht="14.45" customHeight="1" x14ac:dyDescent="0.25">
      <c r="A166" s="204" t="s">
        <v>277</v>
      </c>
      <c r="B166" s="204"/>
      <c r="C166" s="60" t="s">
        <v>278</v>
      </c>
      <c r="D166" s="41">
        <v>0</v>
      </c>
      <c r="E166" s="41">
        <v>0</v>
      </c>
      <c r="F166" s="48">
        <v>0</v>
      </c>
      <c r="G166" s="41">
        <v>0</v>
      </c>
      <c r="H166" s="122">
        <v>0</v>
      </c>
      <c r="I166" s="122">
        <v>0</v>
      </c>
      <c r="J166" s="122">
        <v>0</v>
      </c>
      <c r="K166" s="122">
        <v>0</v>
      </c>
    </row>
    <row r="167" spans="1:11" ht="15.75" x14ac:dyDescent="0.25">
      <c r="A167" s="192" t="s">
        <v>279</v>
      </c>
      <c r="B167" s="192"/>
      <c r="C167" s="60" t="s">
        <v>280</v>
      </c>
      <c r="D167" s="41">
        <v>0</v>
      </c>
      <c r="E167" s="41">
        <v>0</v>
      </c>
      <c r="F167" s="48">
        <v>0</v>
      </c>
      <c r="G167" s="40">
        <v>0</v>
      </c>
      <c r="H167" s="122">
        <v>0</v>
      </c>
      <c r="I167" s="122">
        <v>0</v>
      </c>
      <c r="J167" s="122">
        <v>0</v>
      </c>
      <c r="K167" s="132">
        <v>0</v>
      </c>
    </row>
    <row r="168" spans="1:11" ht="15.75" x14ac:dyDescent="0.25">
      <c r="A168" s="192" t="s">
        <v>281</v>
      </c>
      <c r="B168" s="192"/>
      <c r="C168" s="60" t="s">
        <v>282</v>
      </c>
      <c r="D168" s="41">
        <v>0</v>
      </c>
      <c r="E168" s="41">
        <v>0</v>
      </c>
      <c r="F168" s="48">
        <v>1194</v>
      </c>
      <c r="G168" s="40">
        <f>SUM(H168:K168)</f>
        <v>1200</v>
      </c>
      <c r="H168" s="122">
        <v>300</v>
      </c>
      <c r="I168" s="122">
        <f>H168</f>
        <v>300</v>
      </c>
      <c r="J168" s="122">
        <f>H168</f>
        <v>300</v>
      </c>
      <c r="K168" s="122">
        <f>I168</f>
        <v>300</v>
      </c>
    </row>
    <row r="169" spans="1:11" ht="15.75" x14ac:dyDescent="0.25">
      <c r="A169" s="192" t="s">
        <v>283</v>
      </c>
      <c r="B169" s="192"/>
      <c r="C169" s="60" t="s">
        <v>284</v>
      </c>
      <c r="D169" s="41">
        <v>0</v>
      </c>
      <c r="E169" s="41">
        <v>0</v>
      </c>
      <c r="F169" s="48">
        <v>0</v>
      </c>
      <c r="G169" s="40">
        <v>0</v>
      </c>
      <c r="H169" s="122">
        <v>0</v>
      </c>
      <c r="I169" s="122">
        <v>0</v>
      </c>
      <c r="J169" s="122">
        <v>0</v>
      </c>
      <c r="K169" s="122">
        <v>0</v>
      </c>
    </row>
    <row r="170" spans="1:11" ht="15.75" x14ac:dyDescent="0.25">
      <c r="A170" s="192" t="s">
        <v>285</v>
      </c>
      <c r="B170" s="192"/>
      <c r="C170" s="60" t="s">
        <v>457</v>
      </c>
      <c r="D170" s="41">
        <v>0</v>
      </c>
      <c r="E170" s="41">
        <v>0</v>
      </c>
      <c r="F170" s="48">
        <v>0</v>
      </c>
      <c r="G170" s="40">
        <v>0</v>
      </c>
      <c r="H170" s="122">
        <v>0</v>
      </c>
      <c r="I170" s="122">
        <v>0</v>
      </c>
      <c r="J170" s="122">
        <v>0</v>
      </c>
      <c r="K170" s="122">
        <v>0</v>
      </c>
    </row>
    <row r="171" spans="1:11" ht="36.950000000000003" customHeight="1" x14ac:dyDescent="0.25">
      <c r="A171" s="189" t="s">
        <v>286</v>
      </c>
      <c r="B171" s="189"/>
      <c r="C171" s="38">
        <v>35</v>
      </c>
      <c r="D171" s="47">
        <f>SUM(D172:D174)</f>
        <v>0</v>
      </c>
      <c r="E171" s="47">
        <f t="shared" ref="E171:G171" si="35">SUM(E172:E174)</f>
        <v>0</v>
      </c>
      <c r="F171" s="47">
        <f t="shared" si="35"/>
        <v>9066.33</v>
      </c>
      <c r="G171" s="47">
        <f t="shared" si="35"/>
        <v>21366.351999999999</v>
      </c>
      <c r="H171" s="126">
        <f>SUM(H172:H174)</f>
        <v>5341.5879999999997</v>
      </c>
      <c r="I171" s="126">
        <f>SUM(I172:I174)</f>
        <v>5341.5879999999997</v>
      </c>
      <c r="J171" s="126">
        <f>SUM(J172:J174)</f>
        <v>5341.5879999999997</v>
      </c>
      <c r="K171" s="126">
        <f>SUM(K172:K174)</f>
        <v>5341.5879999999997</v>
      </c>
    </row>
    <row r="172" spans="1:11" ht="18" customHeight="1" x14ac:dyDescent="0.25">
      <c r="A172" s="192" t="s">
        <v>456</v>
      </c>
      <c r="B172" s="192"/>
      <c r="C172" s="60" t="s">
        <v>287</v>
      </c>
      <c r="D172" s="40">
        <v>0</v>
      </c>
      <c r="E172" s="41">
        <v>0</v>
      </c>
      <c r="F172" s="110">
        <f>(F76+F87)*0.18</f>
        <v>8434.98</v>
      </c>
      <c r="G172" s="40">
        <f t="shared" ref="G172:G178" si="36">H172+I172+J172+K172</f>
        <v>19705.68</v>
      </c>
      <c r="H172" s="122">
        <f>(H76+H87)*0.18</f>
        <v>4926.42</v>
      </c>
      <c r="I172" s="122">
        <f t="shared" ref="I172:K172" si="37">(I76+I87)*0.18</f>
        <v>4926.42</v>
      </c>
      <c r="J172" s="122">
        <f t="shared" si="37"/>
        <v>4926.42</v>
      </c>
      <c r="K172" s="122">
        <f t="shared" si="37"/>
        <v>4926.42</v>
      </c>
    </row>
    <row r="173" spans="1:11" ht="18.600000000000001" customHeight="1" x14ac:dyDescent="0.25">
      <c r="A173" s="192" t="s">
        <v>281</v>
      </c>
      <c r="B173" s="192"/>
      <c r="C173" s="60" t="s">
        <v>458</v>
      </c>
      <c r="D173" s="40">
        <v>0</v>
      </c>
      <c r="E173" s="41">
        <v>0</v>
      </c>
      <c r="F173" s="48">
        <f>210.45*3</f>
        <v>631.34999999999991</v>
      </c>
      <c r="G173" s="40">
        <f t="shared" si="36"/>
        <v>200</v>
      </c>
      <c r="H173" s="122">
        <v>50</v>
      </c>
      <c r="I173" s="122">
        <v>50</v>
      </c>
      <c r="J173" s="122">
        <v>50</v>
      </c>
      <c r="K173" s="122">
        <v>50</v>
      </c>
    </row>
    <row r="174" spans="1:11" ht="15.95" customHeight="1" x14ac:dyDescent="0.25">
      <c r="A174" s="192" t="s">
        <v>285</v>
      </c>
      <c r="B174" s="192"/>
      <c r="C174" s="60" t="s">
        <v>459</v>
      </c>
      <c r="D174" s="40">
        <v>0</v>
      </c>
      <c r="E174" s="41">
        <v>0</v>
      </c>
      <c r="F174" s="48">
        <v>0</v>
      </c>
      <c r="G174" s="40">
        <f t="shared" si="36"/>
        <v>1460.672</v>
      </c>
      <c r="H174" s="132">
        <v>365.16800000000001</v>
      </c>
      <c r="I174" s="132">
        <v>365.16800000000001</v>
      </c>
      <c r="J174" s="132">
        <v>365.16800000000001</v>
      </c>
      <c r="K174" s="132">
        <v>365.16800000000001</v>
      </c>
    </row>
    <row r="175" spans="1:11" ht="33" customHeight="1" x14ac:dyDescent="0.25">
      <c r="A175" s="189" t="s">
        <v>288</v>
      </c>
      <c r="B175" s="189"/>
      <c r="C175" s="38">
        <v>36</v>
      </c>
      <c r="D175" s="43">
        <f>SUM(D176:D178)</f>
        <v>14781.334999999999</v>
      </c>
      <c r="E175" s="42">
        <f>SUM(E176:E178)</f>
        <v>24886.955000000002</v>
      </c>
      <c r="F175" s="42">
        <f>SUM(F176:F178)</f>
        <v>18281.408425399997</v>
      </c>
      <c r="G175" s="43">
        <f t="shared" si="36"/>
        <v>49264.2</v>
      </c>
      <c r="H175" s="115">
        <f>SUM(H176:H178)</f>
        <v>12316.05</v>
      </c>
      <c r="I175" s="115">
        <f>SUM(I176:I178)</f>
        <v>12316.05</v>
      </c>
      <c r="J175" s="115">
        <f>SUM(J176:J178)</f>
        <v>12316.05</v>
      </c>
      <c r="K175" s="115">
        <f>SUM(K176:K178)</f>
        <v>12316.05</v>
      </c>
    </row>
    <row r="176" spans="1:11" ht="28.5" customHeight="1" x14ac:dyDescent="0.25">
      <c r="A176" s="192" t="s">
        <v>289</v>
      </c>
      <c r="B176" s="192"/>
      <c r="C176" s="60" t="s">
        <v>290</v>
      </c>
      <c r="D176" s="41">
        <f>D206</f>
        <v>7829</v>
      </c>
      <c r="E176" s="41">
        <f>E206</f>
        <v>13193</v>
      </c>
      <c r="F176" s="41">
        <f>F206</f>
        <v>10332.874639999998</v>
      </c>
      <c r="G176" s="41">
        <f t="shared" si="36"/>
        <v>24084.720000000001</v>
      </c>
      <c r="H176" s="116">
        <f>H206</f>
        <v>6021.18</v>
      </c>
      <c r="I176" s="116">
        <f>I206</f>
        <v>6021.18</v>
      </c>
      <c r="J176" s="116">
        <f>J206</f>
        <v>6021.18</v>
      </c>
      <c r="K176" s="116">
        <f>K206</f>
        <v>6021.18</v>
      </c>
    </row>
    <row r="177" spans="1:11" ht="15.75" x14ac:dyDescent="0.25">
      <c r="A177" s="192" t="s">
        <v>291</v>
      </c>
      <c r="B177" s="192"/>
      <c r="C177" s="60" t="s">
        <v>292</v>
      </c>
      <c r="D177" s="41">
        <f>D205/100*1.5</f>
        <v>534.79499999999996</v>
      </c>
      <c r="E177" s="41">
        <f>E205/100*1.5</f>
        <v>899.53500000000008</v>
      </c>
      <c r="F177" s="48">
        <f>F76/100*1.5</f>
        <v>611.42567580000002</v>
      </c>
      <c r="G177" s="41">
        <f t="shared" si="36"/>
        <v>5473.8</v>
      </c>
      <c r="H177" s="116">
        <f>H205/100*5</f>
        <v>1368.45</v>
      </c>
      <c r="I177" s="116">
        <f t="shared" ref="I177:K177" si="38">I205/100*5</f>
        <v>1368.45</v>
      </c>
      <c r="J177" s="116">
        <f t="shared" si="38"/>
        <v>1368.45</v>
      </c>
      <c r="K177" s="116">
        <f t="shared" si="38"/>
        <v>1368.45</v>
      </c>
    </row>
    <row r="178" spans="1:11" ht="15.75" x14ac:dyDescent="0.25">
      <c r="A178" s="192" t="s">
        <v>273</v>
      </c>
      <c r="B178" s="192"/>
      <c r="C178" s="60" t="s">
        <v>293</v>
      </c>
      <c r="D178" s="41">
        <f>D205/100*18</f>
        <v>6417.5399999999991</v>
      </c>
      <c r="E178" s="41">
        <f>E205/100*18</f>
        <v>10794.420000000002</v>
      </c>
      <c r="F178" s="48">
        <f>F76/100*18</f>
        <v>7337.1081095999998</v>
      </c>
      <c r="G178" s="41">
        <f t="shared" si="36"/>
        <v>19705.68</v>
      </c>
      <c r="H178" s="116">
        <f>H205/100*18</f>
        <v>4926.42</v>
      </c>
      <c r="I178" s="116">
        <f>I205/100*18</f>
        <v>4926.42</v>
      </c>
      <c r="J178" s="116">
        <f>J205/100*18</f>
        <v>4926.42</v>
      </c>
      <c r="K178" s="116">
        <f>K205/100*18</f>
        <v>4926.42</v>
      </c>
    </row>
    <row r="179" spans="1:11" ht="15.75" x14ac:dyDescent="0.25">
      <c r="A179" s="189" t="s">
        <v>294</v>
      </c>
      <c r="B179" s="189"/>
      <c r="C179" s="38">
        <v>37</v>
      </c>
      <c r="D179" s="43">
        <f t="shared" ref="D179:K179" si="39">D180+D183</f>
        <v>0</v>
      </c>
      <c r="E179" s="42">
        <f t="shared" si="39"/>
        <v>0</v>
      </c>
      <c r="F179" s="42">
        <f t="shared" si="39"/>
        <v>0</v>
      </c>
      <c r="G179" s="43">
        <f t="shared" si="39"/>
        <v>0</v>
      </c>
      <c r="H179" s="115">
        <f t="shared" si="39"/>
        <v>0</v>
      </c>
      <c r="I179" s="115">
        <f t="shared" si="39"/>
        <v>0</v>
      </c>
      <c r="J179" s="115">
        <f t="shared" si="39"/>
        <v>0</v>
      </c>
      <c r="K179" s="115">
        <f t="shared" si="39"/>
        <v>0</v>
      </c>
    </row>
    <row r="180" spans="1:11" ht="15.75" x14ac:dyDescent="0.25">
      <c r="A180" s="205" t="s">
        <v>295</v>
      </c>
      <c r="B180" s="205"/>
      <c r="C180" s="62" t="s">
        <v>296</v>
      </c>
      <c r="D180" s="43">
        <f t="shared" ref="D180:K180" si="40">SUM(D181:D182)</f>
        <v>0</v>
      </c>
      <c r="E180" s="42">
        <f t="shared" si="40"/>
        <v>0</v>
      </c>
      <c r="F180" s="42">
        <f t="shared" si="40"/>
        <v>0</v>
      </c>
      <c r="G180" s="43">
        <f t="shared" si="40"/>
        <v>0</v>
      </c>
      <c r="H180" s="115">
        <f t="shared" si="40"/>
        <v>0</v>
      </c>
      <c r="I180" s="115">
        <f t="shared" si="40"/>
        <v>0</v>
      </c>
      <c r="J180" s="115">
        <f t="shared" si="40"/>
        <v>0</v>
      </c>
      <c r="K180" s="115">
        <f t="shared" si="40"/>
        <v>0</v>
      </c>
    </row>
    <row r="181" spans="1:11" ht="18.95" customHeight="1" x14ac:dyDescent="0.25">
      <c r="A181" s="192" t="s">
        <v>297</v>
      </c>
      <c r="B181" s="192"/>
      <c r="C181" s="60" t="s">
        <v>298</v>
      </c>
      <c r="D181" s="40"/>
      <c r="E181" s="41"/>
      <c r="F181" s="48"/>
      <c r="G181" s="40"/>
      <c r="H181" s="116"/>
      <c r="I181" s="116"/>
      <c r="J181" s="116"/>
      <c r="K181" s="121"/>
    </row>
    <row r="182" spans="1:11" ht="18.95" customHeight="1" x14ac:dyDescent="0.25">
      <c r="A182" s="192" t="s">
        <v>299</v>
      </c>
      <c r="B182" s="192"/>
      <c r="C182" s="60" t="s">
        <v>300</v>
      </c>
      <c r="D182" s="40"/>
      <c r="E182" s="41"/>
      <c r="F182" s="48"/>
      <c r="G182" s="40"/>
      <c r="H182" s="116"/>
      <c r="I182" s="116"/>
      <c r="J182" s="116"/>
      <c r="K182" s="121"/>
    </row>
    <row r="183" spans="1:11" ht="15.75" x14ac:dyDescent="0.25">
      <c r="A183" s="205" t="s">
        <v>301</v>
      </c>
      <c r="B183" s="205"/>
      <c r="C183" s="62" t="s">
        <v>302</v>
      </c>
      <c r="D183" s="43">
        <f t="shared" ref="D183:K183" si="41">SUM(D184:D185)</f>
        <v>0</v>
      </c>
      <c r="E183" s="42">
        <f t="shared" si="41"/>
        <v>0</v>
      </c>
      <c r="F183" s="42">
        <f t="shared" si="41"/>
        <v>0</v>
      </c>
      <c r="G183" s="43">
        <f t="shared" si="41"/>
        <v>0</v>
      </c>
      <c r="H183" s="115">
        <f t="shared" si="41"/>
        <v>0</v>
      </c>
      <c r="I183" s="115">
        <f t="shared" si="41"/>
        <v>0</v>
      </c>
      <c r="J183" s="115">
        <f t="shared" si="41"/>
        <v>0</v>
      </c>
      <c r="K183" s="115">
        <f t="shared" si="41"/>
        <v>0</v>
      </c>
    </row>
    <row r="184" spans="1:11" ht="17.100000000000001" customHeight="1" x14ac:dyDescent="0.25">
      <c r="A184" s="192" t="s">
        <v>297</v>
      </c>
      <c r="B184" s="192"/>
      <c r="C184" s="60" t="s">
        <v>303</v>
      </c>
      <c r="D184" s="40"/>
      <c r="E184" s="41"/>
      <c r="F184" s="48"/>
      <c r="G184" s="40"/>
      <c r="H184" s="122"/>
      <c r="I184" s="122"/>
      <c r="J184" s="122"/>
      <c r="K184" s="132"/>
    </row>
    <row r="185" spans="1:11" ht="18.95" customHeight="1" x14ac:dyDescent="0.25">
      <c r="A185" s="192" t="s">
        <v>299</v>
      </c>
      <c r="B185" s="192"/>
      <c r="C185" s="60" t="s">
        <v>304</v>
      </c>
      <c r="D185" s="40"/>
      <c r="E185" s="41"/>
      <c r="F185" s="48"/>
      <c r="G185" s="40"/>
      <c r="H185" s="122"/>
      <c r="I185" s="122"/>
      <c r="J185" s="122"/>
      <c r="K185" s="132"/>
    </row>
    <row r="186" spans="1:11" ht="15.75" x14ac:dyDescent="0.25">
      <c r="A186" s="189" t="s">
        <v>305</v>
      </c>
      <c r="B186" s="189"/>
      <c r="C186" s="38">
        <v>38</v>
      </c>
      <c r="D186" s="43">
        <f t="shared" ref="D186:K186" si="42">D179+D175+D171+D163</f>
        <v>14781.334999999999</v>
      </c>
      <c r="E186" s="42">
        <f t="shared" si="42"/>
        <v>33549.309160000004</v>
      </c>
      <c r="F186" s="42">
        <f t="shared" si="42"/>
        <v>28541.738425399999</v>
      </c>
      <c r="G186" s="47">
        <f t="shared" si="42"/>
        <v>80782.547999999995</v>
      </c>
      <c r="H186" s="115">
        <f t="shared" si="42"/>
        <v>19507.157999999999</v>
      </c>
      <c r="I186" s="115">
        <f t="shared" si="42"/>
        <v>20528.775999999998</v>
      </c>
      <c r="J186" s="115">
        <f t="shared" si="42"/>
        <v>20522.216</v>
      </c>
      <c r="K186" s="115">
        <f t="shared" si="42"/>
        <v>20224.398000000001</v>
      </c>
    </row>
    <row r="187" spans="1:11" ht="15.75" x14ac:dyDescent="0.25">
      <c r="A187" s="203" t="s">
        <v>306</v>
      </c>
      <c r="B187" s="194"/>
      <c r="C187" s="194"/>
      <c r="D187" s="194"/>
      <c r="E187" s="194"/>
      <c r="F187" s="194"/>
      <c r="G187" s="194"/>
      <c r="H187" s="194"/>
      <c r="I187" s="194"/>
      <c r="J187" s="194"/>
      <c r="K187" s="195"/>
    </row>
    <row r="188" spans="1:11" ht="15.75" x14ac:dyDescent="0.25">
      <c r="A188" s="192" t="s">
        <v>307</v>
      </c>
      <c r="B188" s="192"/>
      <c r="C188" s="38">
        <v>39</v>
      </c>
      <c r="D188" s="47">
        <v>0</v>
      </c>
      <c r="E188" s="43">
        <v>0</v>
      </c>
      <c r="F188" s="42">
        <v>0</v>
      </c>
      <c r="G188" s="47">
        <f>F200</f>
        <v>0</v>
      </c>
      <c r="H188" s="47">
        <v>0</v>
      </c>
      <c r="I188" s="47">
        <v>0</v>
      </c>
      <c r="J188" s="47">
        <v>0</v>
      </c>
      <c r="K188" s="47">
        <v>0</v>
      </c>
    </row>
    <row r="189" spans="1:11" ht="15.75" x14ac:dyDescent="0.25">
      <c r="A189" s="192" t="s">
        <v>308</v>
      </c>
      <c r="B189" s="192"/>
      <c r="C189" s="38">
        <v>40</v>
      </c>
      <c r="D189" s="41"/>
      <c r="E189" s="41"/>
      <c r="F189" s="42"/>
      <c r="G189" s="41"/>
      <c r="H189" s="61"/>
      <c r="I189" s="61"/>
      <c r="J189" s="61"/>
      <c r="K189" s="61"/>
    </row>
    <row r="190" spans="1:11" ht="15.75" x14ac:dyDescent="0.25">
      <c r="A190" s="192" t="s">
        <v>309</v>
      </c>
      <c r="B190" s="192"/>
      <c r="C190" s="60" t="s">
        <v>310</v>
      </c>
      <c r="D190" s="40"/>
      <c r="E190" s="41"/>
      <c r="F190" s="48"/>
      <c r="G190" s="40"/>
      <c r="H190" s="56"/>
      <c r="I190" s="56"/>
      <c r="J190" s="56"/>
      <c r="K190" s="56"/>
    </row>
    <row r="191" spans="1:11" ht="15.75" x14ac:dyDescent="0.25">
      <c r="A191" s="192" t="s">
        <v>311</v>
      </c>
      <c r="B191" s="192"/>
      <c r="C191" s="38">
        <v>41</v>
      </c>
      <c r="D191" s="41"/>
      <c r="E191" s="41"/>
      <c r="F191" s="48"/>
      <c r="G191" s="41"/>
      <c r="H191" s="61"/>
      <c r="I191" s="61"/>
      <c r="J191" s="61"/>
      <c r="K191" s="61"/>
    </row>
    <row r="192" spans="1:11" ht="15.75" x14ac:dyDescent="0.25">
      <c r="A192" s="192" t="s">
        <v>312</v>
      </c>
      <c r="B192" s="192"/>
      <c r="C192" s="38">
        <v>42</v>
      </c>
      <c r="D192" s="41"/>
      <c r="E192" s="41"/>
      <c r="F192" s="48"/>
      <c r="G192" s="41"/>
      <c r="H192" s="61"/>
      <c r="I192" s="61"/>
      <c r="J192" s="61"/>
      <c r="K192" s="61"/>
    </row>
    <row r="193" spans="1:11" ht="15.75" x14ac:dyDescent="0.25">
      <c r="A193" s="192" t="s">
        <v>313</v>
      </c>
      <c r="B193" s="192"/>
      <c r="C193" s="38">
        <v>43</v>
      </c>
      <c r="D193" s="41"/>
      <c r="E193" s="41"/>
      <c r="F193" s="48"/>
      <c r="G193" s="41"/>
      <c r="H193" s="61"/>
      <c r="I193" s="61"/>
      <c r="J193" s="61"/>
      <c r="K193" s="61"/>
    </row>
    <row r="194" spans="1:11" ht="15.75" x14ac:dyDescent="0.25">
      <c r="A194" s="192" t="s">
        <v>314</v>
      </c>
      <c r="B194" s="192"/>
      <c r="C194" s="38">
        <v>44</v>
      </c>
      <c r="D194" s="41"/>
      <c r="E194" s="41"/>
      <c r="F194" s="48"/>
      <c r="G194" s="41"/>
      <c r="H194" s="61"/>
      <c r="I194" s="61"/>
      <c r="J194" s="61"/>
      <c r="K194" s="61"/>
    </row>
    <row r="195" spans="1:11" ht="15.75" x14ac:dyDescent="0.25">
      <c r="A195" s="192" t="s">
        <v>315</v>
      </c>
      <c r="B195" s="192"/>
      <c r="C195" s="60" t="s">
        <v>316</v>
      </c>
      <c r="D195" s="40"/>
      <c r="E195" s="41"/>
      <c r="F195" s="42"/>
      <c r="G195" s="40"/>
      <c r="H195" s="56"/>
      <c r="I195" s="56"/>
      <c r="J195" s="56"/>
      <c r="K195" s="56"/>
    </row>
    <row r="196" spans="1:11" ht="15.75" x14ac:dyDescent="0.25">
      <c r="A196" s="192" t="s">
        <v>317</v>
      </c>
      <c r="B196" s="192"/>
      <c r="C196" s="60" t="s">
        <v>318</v>
      </c>
      <c r="D196" s="41"/>
      <c r="E196" s="41"/>
      <c r="F196" s="42"/>
      <c r="G196" s="41"/>
      <c r="H196" s="61"/>
      <c r="I196" s="61"/>
      <c r="J196" s="61"/>
      <c r="K196" s="61"/>
    </row>
    <row r="197" spans="1:11" ht="15.75" x14ac:dyDescent="0.25">
      <c r="A197" s="192" t="s">
        <v>319</v>
      </c>
      <c r="B197" s="192"/>
      <c r="C197" s="60" t="s">
        <v>320</v>
      </c>
      <c r="D197" s="41"/>
      <c r="E197" s="41"/>
      <c r="F197" s="42"/>
      <c r="G197" s="41"/>
      <c r="H197" s="61"/>
      <c r="I197" s="61"/>
      <c r="J197" s="61"/>
      <c r="K197" s="61"/>
    </row>
    <row r="198" spans="1:11" ht="15.75" x14ac:dyDescent="0.25">
      <c r="A198" s="192" t="s">
        <v>321</v>
      </c>
      <c r="B198" s="192"/>
      <c r="C198" s="60" t="s">
        <v>322</v>
      </c>
      <c r="D198" s="41"/>
      <c r="E198" s="41"/>
      <c r="F198" s="42"/>
      <c r="G198" s="41"/>
      <c r="H198" s="61"/>
      <c r="I198" s="61"/>
      <c r="J198" s="61"/>
      <c r="K198" s="61"/>
    </row>
    <row r="199" spans="1:11" ht="15.75" x14ac:dyDescent="0.25">
      <c r="A199" s="192" t="s">
        <v>323</v>
      </c>
      <c r="B199" s="192"/>
      <c r="C199" s="38">
        <v>45</v>
      </c>
      <c r="D199" s="41"/>
      <c r="E199" s="41"/>
      <c r="F199" s="42"/>
      <c r="G199" s="41"/>
      <c r="H199" s="61"/>
      <c r="I199" s="61"/>
      <c r="J199" s="61"/>
      <c r="K199" s="61"/>
    </row>
    <row r="200" spans="1:11" ht="15.75" x14ac:dyDescent="0.25">
      <c r="A200" s="192" t="s">
        <v>324</v>
      </c>
      <c r="B200" s="192"/>
      <c r="C200" s="38">
        <v>46</v>
      </c>
      <c r="D200" s="47">
        <f>D188+D193+D199</f>
        <v>0</v>
      </c>
      <c r="E200" s="43">
        <f>E188+E193+E199</f>
        <v>0</v>
      </c>
      <c r="F200" s="42">
        <f t="shared" ref="F200:K200" si="43">F188+F193+F199</f>
        <v>0</v>
      </c>
      <c r="G200" s="47">
        <f t="shared" si="43"/>
        <v>0</v>
      </c>
      <c r="H200" s="58">
        <f t="shared" si="43"/>
        <v>0</v>
      </c>
      <c r="I200" s="58">
        <f t="shared" si="43"/>
        <v>0</v>
      </c>
      <c r="J200" s="58">
        <f t="shared" si="43"/>
        <v>0</v>
      </c>
      <c r="K200" s="58">
        <f t="shared" si="43"/>
        <v>0</v>
      </c>
    </row>
    <row r="201" spans="1:11" ht="15.75" x14ac:dyDescent="0.25">
      <c r="A201" s="203" t="s">
        <v>325</v>
      </c>
      <c r="B201" s="194"/>
      <c r="C201" s="194"/>
      <c r="D201" s="194"/>
      <c r="E201" s="194"/>
      <c r="F201" s="194"/>
      <c r="G201" s="194"/>
      <c r="H201" s="194"/>
      <c r="I201" s="194"/>
      <c r="J201" s="194"/>
      <c r="K201" s="195"/>
    </row>
    <row r="202" spans="1:11" ht="15.75" x14ac:dyDescent="0.25">
      <c r="A202" s="192" t="s">
        <v>326</v>
      </c>
      <c r="B202" s="192"/>
      <c r="C202" s="39">
        <v>47</v>
      </c>
      <c r="D202" s="59">
        <f>D203+D204</f>
        <v>33793.152999999998</v>
      </c>
      <c r="E202" s="77">
        <f>E203+E204</f>
        <v>45121</v>
      </c>
      <c r="F202" s="41">
        <f>F203+F204</f>
        <v>31304</v>
      </c>
      <c r="G202" s="80">
        <f t="shared" ref="G202:K202" si="44">G203+G204</f>
        <v>3108</v>
      </c>
      <c r="H202" s="124">
        <f t="shared" si="44"/>
        <v>777</v>
      </c>
      <c r="I202" s="124">
        <f t="shared" si="44"/>
        <v>777</v>
      </c>
      <c r="J202" s="124">
        <f t="shared" si="44"/>
        <v>777</v>
      </c>
      <c r="K202" s="124">
        <f t="shared" si="44"/>
        <v>777</v>
      </c>
    </row>
    <row r="203" spans="1:11" ht="15.75" x14ac:dyDescent="0.25">
      <c r="A203" s="206" t="s">
        <v>327</v>
      </c>
      <c r="B203" s="206"/>
      <c r="C203" s="63" t="s">
        <v>328</v>
      </c>
      <c r="D203" s="105">
        <f t="shared" ref="D203:K203" si="45">D73</f>
        <v>12454.653</v>
      </c>
      <c r="E203" s="64">
        <f t="shared" si="45"/>
        <v>12830</v>
      </c>
      <c r="F203" s="64">
        <f t="shared" si="45"/>
        <v>2986</v>
      </c>
      <c r="G203" s="64">
        <f t="shared" si="45"/>
        <v>3108</v>
      </c>
      <c r="H203" s="133">
        <f t="shared" si="45"/>
        <v>777</v>
      </c>
      <c r="I203" s="133">
        <f t="shared" si="45"/>
        <v>777</v>
      </c>
      <c r="J203" s="133">
        <f t="shared" si="45"/>
        <v>777</v>
      </c>
      <c r="K203" s="133">
        <f t="shared" si="45"/>
        <v>777</v>
      </c>
    </row>
    <row r="204" spans="1:11" ht="15.75" x14ac:dyDescent="0.25">
      <c r="A204" s="206" t="s">
        <v>329</v>
      </c>
      <c r="B204" s="206"/>
      <c r="C204" s="63" t="s">
        <v>330</v>
      </c>
      <c r="D204" s="105">
        <v>21338.5</v>
      </c>
      <c r="E204" s="64">
        <v>32291</v>
      </c>
      <c r="F204" s="64">
        <f>F75+F74+F95</f>
        <v>28318</v>
      </c>
      <c r="G204" s="64">
        <f>H204+I204+J204+K204</f>
        <v>0</v>
      </c>
      <c r="H204" s="133">
        <v>0</v>
      </c>
      <c r="I204" s="133">
        <v>0</v>
      </c>
      <c r="J204" s="133">
        <v>0</v>
      </c>
      <c r="K204" s="133">
        <v>0</v>
      </c>
    </row>
    <row r="205" spans="1:11" ht="15.75" x14ac:dyDescent="0.25">
      <c r="A205" s="192" t="s">
        <v>331</v>
      </c>
      <c r="B205" s="192"/>
      <c r="C205" s="39">
        <v>48</v>
      </c>
      <c r="D205" s="50">
        <f>D87+D76</f>
        <v>35653</v>
      </c>
      <c r="E205" s="41">
        <f>E87+E76</f>
        <v>59969</v>
      </c>
      <c r="F205" s="48">
        <f>10106+5735.349*3+6551.855*3</f>
        <v>46967.611999999994</v>
      </c>
      <c r="G205" s="41">
        <f>SUM(H205:K205)</f>
        <v>109476</v>
      </c>
      <c r="H205" s="133">
        <f>H76+H87</f>
        <v>27369</v>
      </c>
      <c r="I205" s="133">
        <f t="shared" ref="I205:K205" si="46">I76+I87</f>
        <v>27369</v>
      </c>
      <c r="J205" s="133">
        <f t="shared" si="46"/>
        <v>27369</v>
      </c>
      <c r="K205" s="133">
        <f t="shared" si="46"/>
        <v>27369</v>
      </c>
    </row>
    <row r="206" spans="1:11" ht="15.75" x14ac:dyDescent="0.25">
      <c r="A206" s="192" t="s">
        <v>332</v>
      </c>
      <c r="B206" s="192"/>
      <c r="C206" s="39">
        <v>49</v>
      </c>
      <c r="D206" s="50">
        <f>D88+D77</f>
        <v>7829</v>
      </c>
      <c r="E206" s="41">
        <f>E77+E88</f>
        <v>13193</v>
      </c>
      <c r="F206" s="48">
        <f t="shared" ref="F206:K206" si="47">F205*0.22</f>
        <v>10332.874639999998</v>
      </c>
      <c r="G206" s="41">
        <f t="shared" si="47"/>
        <v>24084.720000000001</v>
      </c>
      <c r="H206" s="116">
        <f t="shared" si="47"/>
        <v>6021.18</v>
      </c>
      <c r="I206" s="116">
        <f t="shared" si="47"/>
        <v>6021.18</v>
      </c>
      <c r="J206" s="116">
        <f t="shared" si="47"/>
        <v>6021.18</v>
      </c>
      <c r="K206" s="116">
        <f t="shared" si="47"/>
        <v>6021.18</v>
      </c>
    </row>
    <row r="207" spans="1:11" ht="15.75" x14ac:dyDescent="0.25">
      <c r="A207" s="192" t="s">
        <v>333</v>
      </c>
      <c r="B207" s="192"/>
      <c r="C207" s="39">
        <v>50</v>
      </c>
      <c r="D207" s="50">
        <f>D89+D78</f>
        <v>4408</v>
      </c>
      <c r="E207" s="48">
        <v>1627</v>
      </c>
      <c r="F207" s="41">
        <f>F89+F78</f>
        <v>4702.3</v>
      </c>
      <c r="G207" s="41">
        <f>G78</f>
        <v>2400</v>
      </c>
      <c r="H207" s="116">
        <v>2700</v>
      </c>
      <c r="I207" s="116">
        <f>H207</f>
        <v>2700</v>
      </c>
      <c r="J207" s="116">
        <f>I207</f>
        <v>2700</v>
      </c>
      <c r="K207" s="116">
        <f>J207</f>
        <v>2700</v>
      </c>
    </row>
    <row r="208" spans="1:11" ht="15.75" x14ac:dyDescent="0.25">
      <c r="A208" s="192" t="s">
        <v>334</v>
      </c>
      <c r="B208" s="192"/>
      <c r="C208" s="39">
        <v>51</v>
      </c>
      <c r="D208" s="41">
        <v>51924.800000000003</v>
      </c>
      <c r="E208" s="41">
        <f t="shared" ref="E208:K208" si="48">E209-E202-E205-E206-E207</f>
        <v>15311.799999999988</v>
      </c>
      <c r="F208" s="48">
        <f>23185*2</f>
        <v>46370</v>
      </c>
      <c r="G208" s="41">
        <f>H208+I208+J208+K208</f>
        <v>42968.599999999991</v>
      </c>
      <c r="H208" s="116">
        <v>13500</v>
      </c>
      <c r="I208" s="116">
        <f t="shared" si="48"/>
        <v>9821</v>
      </c>
      <c r="J208" s="116">
        <f t="shared" si="48"/>
        <v>9823.7999999999956</v>
      </c>
      <c r="K208" s="116">
        <f t="shared" si="48"/>
        <v>9823.7999999999956</v>
      </c>
    </row>
    <row r="209" spans="1:11" ht="15.75" x14ac:dyDescent="0.25">
      <c r="A209" s="189" t="s">
        <v>335</v>
      </c>
      <c r="B209" s="189"/>
      <c r="C209" s="38">
        <v>52</v>
      </c>
      <c r="D209" s="43">
        <f>D202+D205+D206+D207+D208</f>
        <v>133607.95299999998</v>
      </c>
      <c r="E209" s="43">
        <f>E72+E81</f>
        <v>135221.79999999999</v>
      </c>
      <c r="F209" s="42">
        <f>F81+F72</f>
        <v>110218.5464616</v>
      </c>
      <c r="G209" s="43">
        <f>G72+G81</f>
        <v>186758.32</v>
      </c>
      <c r="H209" s="115">
        <f>H72+H81</f>
        <v>46688.18</v>
      </c>
      <c r="I209" s="115">
        <f>I72+I81</f>
        <v>46688.18</v>
      </c>
      <c r="J209" s="115">
        <f>J72+J81</f>
        <v>46690.979999999996</v>
      </c>
      <c r="K209" s="115">
        <f>K72+K81</f>
        <v>46690.979999999996</v>
      </c>
    </row>
    <row r="210" spans="1:11" ht="15.75" x14ac:dyDescent="0.25">
      <c r="A210" s="203" t="s">
        <v>336</v>
      </c>
      <c r="B210" s="194"/>
      <c r="C210" s="194"/>
      <c r="D210" s="194"/>
      <c r="E210" s="194"/>
      <c r="F210" s="194"/>
      <c r="G210" s="194"/>
      <c r="H210" s="194"/>
      <c r="I210" s="194"/>
      <c r="J210" s="194"/>
      <c r="K210" s="195"/>
    </row>
    <row r="211" spans="1:11" ht="15.75" x14ac:dyDescent="0.25">
      <c r="A211" s="189" t="s">
        <v>337</v>
      </c>
      <c r="B211" s="189"/>
      <c r="C211" s="38">
        <v>53</v>
      </c>
      <c r="D211" s="47">
        <f t="shared" ref="D211:K211" si="49">SUM(D212:D218)</f>
        <v>0</v>
      </c>
      <c r="E211" s="43">
        <f t="shared" si="49"/>
        <v>0</v>
      </c>
      <c r="F211" s="42">
        <f t="shared" si="49"/>
        <v>0</v>
      </c>
      <c r="G211" s="47">
        <f t="shared" si="49"/>
        <v>0</v>
      </c>
      <c r="H211" s="58">
        <f t="shared" si="49"/>
        <v>0</v>
      </c>
      <c r="I211" s="58">
        <f t="shared" si="49"/>
        <v>0</v>
      </c>
      <c r="J211" s="58">
        <f t="shared" si="49"/>
        <v>0</v>
      </c>
      <c r="K211" s="58">
        <f t="shared" si="49"/>
        <v>0</v>
      </c>
    </row>
    <row r="212" spans="1:11" ht="15.75" x14ac:dyDescent="0.25">
      <c r="A212" s="192" t="s">
        <v>338</v>
      </c>
      <c r="B212" s="192"/>
      <c r="C212" s="60" t="s">
        <v>339</v>
      </c>
      <c r="D212" s="40"/>
      <c r="E212" s="41"/>
      <c r="F212" s="48"/>
      <c r="G212" s="40"/>
      <c r="H212" s="56"/>
      <c r="I212" s="56"/>
      <c r="J212" s="56"/>
      <c r="K212" s="57"/>
    </row>
    <row r="213" spans="1:11" ht="15.75" x14ac:dyDescent="0.25">
      <c r="A213" s="192" t="s">
        <v>340</v>
      </c>
      <c r="B213" s="192"/>
      <c r="C213" s="60" t="s">
        <v>341</v>
      </c>
      <c r="D213" s="40"/>
      <c r="E213" s="41"/>
      <c r="F213" s="48"/>
      <c r="G213" s="40"/>
      <c r="H213" s="56"/>
      <c r="I213" s="56"/>
      <c r="J213" s="56"/>
      <c r="K213" s="57"/>
    </row>
    <row r="214" spans="1:11" ht="15.75" x14ac:dyDescent="0.25">
      <c r="A214" s="192" t="s">
        <v>342</v>
      </c>
      <c r="B214" s="192"/>
      <c r="C214" s="60" t="s">
        <v>343</v>
      </c>
      <c r="D214" s="40"/>
      <c r="E214" s="41"/>
      <c r="F214" s="48"/>
      <c r="G214" s="40"/>
      <c r="H214" s="56"/>
      <c r="I214" s="56"/>
      <c r="J214" s="56"/>
      <c r="K214" s="57"/>
    </row>
    <row r="215" spans="1:11" ht="15.75" x14ac:dyDescent="0.25">
      <c r="A215" s="192" t="s">
        <v>344</v>
      </c>
      <c r="B215" s="192"/>
      <c r="C215" s="60" t="s">
        <v>345</v>
      </c>
      <c r="D215" s="40"/>
      <c r="E215" s="41"/>
      <c r="F215" s="48"/>
      <c r="G215" s="40"/>
      <c r="H215" s="56"/>
      <c r="I215" s="56"/>
      <c r="J215" s="56"/>
      <c r="K215" s="57"/>
    </row>
    <row r="216" spans="1:11" ht="15.75" x14ac:dyDescent="0.25">
      <c r="A216" s="192" t="s">
        <v>346</v>
      </c>
      <c r="B216" s="192"/>
      <c r="C216" s="60" t="s">
        <v>347</v>
      </c>
      <c r="D216" s="40"/>
      <c r="E216" s="41"/>
      <c r="F216" s="48"/>
      <c r="G216" s="40"/>
      <c r="H216" s="56"/>
      <c r="I216" s="56"/>
      <c r="J216" s="56"/>
      <c r="K216" s="57"/>
    </row>
    <row r="217" spans="1:11" ht="15.75" x14ac:dyDescent="0.25">
      <c r="A217" s="192" t="s">
        <v>348</v>
      </c>
      <c r="B217" s="192"/>
      <c r="C217" s="60" t="s">
        <v>349</v>
      </c>
      <c r="D217" s="40"/>
      <c r="E217" s="41"/>
      <c r="F217" s="48"/>
      <c r="G217" s="40"/>
      <c r="H217" s="56"/>
      <c r="I217" s="56"/>
      <c r="J217" s="56"/>
      <c r="K217" s="57"/>
    </row>
    <row r="218" spans="1:11" ht="15.75" x14ac:dyDescent="0.25">
      <c r="A218" s="192" t="s">
        <v>350</v>
      </c>
      <c r="B218" s="192"/>
      <c r="C218" s="60" t="s">
        <v>351</v>
      </c>
      <c r="D218" s="40"/>
      <c r="E218" s="41"/>
      <c r="F218" s="48"/>
      <c r="G218" s="40"/>
      <c r="H218" s="56"/>
      <c r="I218" s="56"/>
      <c r="J218" s="56"/>
      <c r="K218" s="57"/>
    </row>
    <row r="219" spans="1:11" ht="15.75" x14ac:dyDescent="0.25">
      <c r="A219" s="189" t="s">
        <v>352</v>
      </c>
      <c r="B219" s="189"/>
      <c r="C219" s="38">
        <v>54</v>
      </c>
      <c r="D219" s="47">
        <f t="shared" ref="D219:K219" si="50">SUM(D220:D223)</f>
        <v>71164</v>
      </c>
      <c r="E219" s="43">
        <f t="shared" si="50"/>
        <v>70450</v>
      </c>
      <c r="F219" s="42">
        <f t="shared" si="50"/>
        <v>13396</v>
      </c>
      <c r="G219" s="47">
        <f t="shared" si="50"/>
        <v>13415</v>
      </c>
      <c r="H219" s="130">
        <f t="shared" si="50"/>
        <v>3353.75</v>
      </c>
      <c r="I219" s="130">
        <f t="shared" si="50"/>
        <v>3353.75</v>
      </c>
      <c r="J219" s="130">
        <f t="shared" si="50"/>
        <v>3353.75</v>
      </c>
      <c r="K219" s="130">
        <f t="shared" si="50"/>
        <v>3353.75</v>
      </c>
    </row>
    <row r="220" spans="1:11" ht="15.75" x14ac:dyDescent="0.25">
      <c r="A220" s="192" t="s">
        <v>353</v>
      </c>
      <c r="B220" s="192"/>
      <c r="C220" s="60" t="s">
        <v>354</v>
      </c>
      <c r="D220" s="40"/>
      <c r="E220" s="41"/>
      <c r="F220" s="48"/>
      <c r="G220" s="40"/>
      <c r="H220" s="113"/>
      <c r="I220" s="113"/>
      <c r="J220" s="113"/>
      <c r="K220" s="114"/>
    </row>
    <row r="221" spans="1:11" ht="15.75" x14ac:dyDescent="0.25">
      <c r="A221" s="192" t="s">
        <v>455</v>
      </c>
      <c r="B221" s="192"/>
      <c r="C221" s="60" t="s">
        <v>355</v>
      </c>
      <c r="D221" s="40">
        <v>70738</v>
      </c>
      <c r="E221" s="41">
        <v>70000</v>
      </c>
      <c r="F221" s="48">
        <v>13081</v>
      </c>
      <c r="G221" s="41">
        <v>13000</v>
      </c>
      <c r="H221" s="122">
        <f>G221/4</f>
        <v>3250</v>
      </c>
      <c r="I221" s="122">
        <f>H221</f>
        <v>3250</v>
      </c>
      <c r="J221" s="122">
        <f t="shared" ref="J221:K221" si="51">I221</f>
        <v>3250</v>
      </c>
      <c r="K221" s="122">
        <f t="shared" si="51"/>
        <v>3250</v>
      </c>
    </row>
    <row r="222" spans="1:11" ht="15.75" x14ac:dyDescent="0.25">
      <c r="A222" s="192" t="s">
        <v>356</v>
      </c>
      <c r="B222" s="192"/>
      <c r="C222" s="60" t="s">
        <v>357</v>
      </c>
      <c r="D222" s="40">
        <v>426</v>
      </c>
      <c r="E222" s="41">
        <v>450</v>
      </c>
      <c r="F222" s="48">
        <v>315</v>
      </c>
      <c r="G222" s="41">
        <v>415</v>
      </c>
      <c r="H222" s="122">
        <f>G222/4</f>
        <v>103.75</v>
      </c>
      <c r="I222" s="122">
        <f>H222</f>
        <v>103.75</v>
      </c>
      <c r="J222" s="122">
        <f t="shared" ref="J222:K222" si="52">I222</f>
        <v>103.75</v>
      </c>
      <c r="K222" s="122">
        <f t="shared" si="52"/>
        <v>103.75</v>
      </c>
    </row>
    <row r="223" spans="1:11" ht="15.75" x14ac:dyDescent="0.25">
      <c r="A223" s="192" t="s">
        <v>358</v>
      </c>
      <c r="B223" s="192"/>
      <c r="C223" s="60" t="s">
        <v>359</v>
      </c>
      <c r="D223" s="40"/>
      <c r="E223" s="41"/>
      <c r="F223" s="48"/>
      <c r="G223" s="40"/>
      <c r="H223" s="56"/>
      <c r="I223" s="56"/>
      <c r="J223" s="56"/>
      <c r="K223" s="57"/>
    </row>
    <row r="224" spans="1:11" ht="15.75" x14ac:dyDescent="0.25">
      <c r="A224" s="203" t="s">
        <v>360</v>
      </c>
      <c r="B224" s="194"/>
      <c r="C224" s="194"/>
      <c r="D224" s="194"/>
      <c r="E224" s="194"/>
      <c r="F224" s="194"/>
      <c r="G224" s="194"/>
      <c r="H224" s="194"/>
      <c r="I224" s="194"/>
      <c r="J224" s="194"/>
      <c r="K224" s="195"/>
    </row>
    <row r="225" spans="1:11" ht="15.75" x14ac:dyDescent="0.25">
      <c r="A225" s="189" t="s">
        <v>361</v>
      </c>
      <c r="B225" s="189"/>
      <c r="C225" s="38">
        <v>55</v>
      </c>
      <c r="D225" s="134">
        <f>D226</f>
        <v>394460</v>
      </c>
      <c r="E225" s="134">
        <f>E226</f>
        <v>394460</v>
      </c>
      <c r="F225" s="134">
        <f>F226</f>
        <v>569102</v>
      </c>
      <c r="G225" s="134">
        <f t="shared" ref="G225:K225" si="53">G226</f>
        <v>569102</v>
      </c>
      <c r="H225" s="135">
        <f t="shared" si="53"/>
        <v>569102</v>
      </c>
      <c r="I225" s="135">
        <f t="shared" si="53"/>
        <v>569102</v>
      </c>
      <c r="J225" s="135">
        <f t="shared" si="53"/>
        <v>569102</v>
      </c>
      <c r="K225" s="135">
        <f t="shared" si="53"/>
        <v>569102</v>
      </c>
    </row>
    <row r="226" spans="1:11" ht="15.75" x14ac:dyDescent="0.25">
      <c r="A226" s="189" t="s">
        <v>362</v>
      </c>
      <c r="B226" s="189"/>
      <c r="C226" s="38">
        <v>56</v>
      </c>
      <c r="D226" s="134">
        <f>D229+D232</f>
        <v>394460</v>
      </c>
      <c r="E226" s="134">
        <f>E229+E232</f>
        <v>394460</v>
      </c>
      <c r="F226" s="134">
        <f>F229+F232</f>
        <v>569102</v>
      </c>
      <c r="G226" s="134">
        <f>G229+G232</f>
        <v>569102</v>
      </c>
      <c r="H226" s="135">
        <f t="shared" ref="H226:K226" si="54">H229+H232</f>
        <v>569102</v>
      </c>
      <c r="I226" s="135">
        <f t="shared" si="54"/>
        <v>569102</v>
      </c>
      <c r="J226" s="135">
        <f t="shared" si="54"/>
        <v>569102</v>
      </c>
      <c r="K226" s="135">
        <f t="shared" si="54"/>
        <v>569102</v>
      </c>
    </row>
    <row r="227" spans="1:11" ht="15.75" x14ac:dyDescent="0.25">
      <c r="A227" s="192" t="s">
        <v>363</v>
      </c>
      <c r="B227" s="192"/>
      <c r="C227" s="60" t="s">
        <v>364</v>
      </c>
      <c r="D227" s="136">
        <v>540683</v>
      </c>
      <c r="E227" s="136">
        <v>540683</v>
      </c>
      <c r="F227" s="137">
        <v>732016</v>
      </c>
      <c r="G227" s="137">
        <v>733016</v>
      </c>
      <c r="H227" s="138">
        <v>733016</v>
      </c>
      <c r="I227" s="138">
        <f t="shared" ref="I227:K227" si="55">H227</f>
        <v>733016</v>
      </c>
      <c r="J227" s="138">
        <f t="shared" si="55"/>
        <v>733016</v>
      </c>
      <c r="K227" s="138">
        <f t="shared" si="55"/>
        <v>733016</v>
      </c>
    </row>
    <row r="228" spans="1:11" ht="15.75" x14ac:dyDescent="0.25">
      <c r="A228" s="192" t="s">
        <v>365</v>
      </c>
      <c r="B228" s="192"/>
      <c r="C228" s="60" t="s">
        <v>366</v>
      </c>
      <c r="D228" s="136">
        <v>146223</v>
      </c>
      <c r="E228" s="136">
        <v>146223</v>
      </c>
      <c r="F228" s="137">
        <v>162914</v>
      </c>
      <c r="G228" s="137">
        <v>163914</v>
      </c>
      <c r="H228" s="138">
        <f>G228</f>
        <v>163914</v>
      </c>
      <c r="I228" s="138">
        <f t="shared" ref="I228:K228" si="56">H228</f>
        <v>163914</v>
      </c>
      <c r="J228" s="138">
        <f t="shared" si="56"/>
        <v>163914</v>
      </c>
      <c r="K228" s="138">
        <f t="shared" si="56"/>
        <v>163914</v>
      </c>
    </row>
    <row r="229" spans="1:11" ht="15.75" x14ac:dyDescent="0.25">
      <c r="A229" s="192" t="s">
        <v>367</v>
      </c>
      <c r="B229" s="192"/>
      <c r="C229" s="60" t="s">
        <v>368</v>
      </c>
      <c r="D229" s="139">
        <f>D227-D228</f>
        <v>394460</v>
      </c>
      <c r="E229" s="139">
        <f>E227-E228</f>
        <v>394460</v>
      </c>
      <c r="F229" s="140">
        <f>F227-F228</f>
        <v>569102</v>
      </c>
      <c r="G229" s="139">
        <f>G227-G228</f>
        <v>569102</v>
      </c>
      <c r="H229" s="141">
        <f t="shared" ref="H229:K229" si="57">H227-H228</f>
        <v>569102</v>
      </c>
      <c r="I229" s="141">
        <f t="shared" si="57"/>
        <v>569102</v>
      </c>
      <c r="J229" s="141">
        <f t="shared" si="57"/>
        <v>569102</v>
      </c>
      <c r="K229" s="141">
        <f t="shared" si="57"/>
        <v>569102</v>
      </c>
    </row>
    <row r="230" spans="1:11" ht="15.75" x14ac:dyDescent="0.25">
      <c r="A230" s="192" t="s">
        <v>369</v>
      </c>
      <c r="B230" s="192"/>
      <c r="C230" s="60" t="s">
        <v>370</v>
      </c>
      <c r="D230" s="142"/>
      <c r="E230" s="136"/>
      <c r="F230" s="137"/>
      <c r="G230" s="142"/>
      <c r="H230" s="143"/>
      <c r="I230" s="143"/>
      <c r="J230" s="143"/>
      <c r="K230" s="144"/>
    </row>
    <row r="231" spans="1:11" ht="15.75" x14ac:dyDescent="0.25">
      <c r="A231" s="192" t="s">
        <v>371</v>
      </c>
      <c r="B231" s="192"/>
      <c r="C231" s="60" t="s">
        <v>372</v>
      </c>
      <c r="D231" s="142"/>
      <c r="E231" s="136"/>
      <c r="F231" s="137"/>
      <c r="G231" s="142"/>
      <c r="H231" s="143"/>
      <c r="I231" s="143"/>
      <c r="J231" s="143"/>
      <c r="K231" s="144"/>
    </row>
    <row r="232" spans="1:11" ht="15.75" x14ac:dyDescent="0.25">
      <c r="A232" s="192" t="s">
        <v>373</v>
      </c>
      <c r="B232" s="192"/>
      <c r="C232" s="60" t="s">
        <v>374</v>
      </c>
      <c r="D232" s="142">
        <f>D230-D231</f>
        <v>0</v>
      </c>
      <c r="E232" s="142">
        <f t="shared" ref="E232:K232" si="58">E230-E231</f>
        <v>0</v>
      </c>
      <c r="F232" s="142">
        <f t="shared" si="58"/>
        <v>0</v>
      </c>
      <c r="G232" s="142">
        <f t="shared" si="58"/>
        <v>0</v>
      </c>
      <c r="H232" s="143">
        <f t="shared" si="58"/>
        <v>0</v>
      </c>
      <c r="I232" s="143">
        <f t="shared" si="58"/>
        <v>0</v>
      </c>
      <c r="J232" s="143">
        <f t="shared" si="58"/>
        <v>0</v>
      </c>
      <c r="K232" s="143">
        <f t="shared" si="58"/>
        <v>0</v>
      </c>
    </row>
    <row r="233" spans="1:11" ht="15.75" x14ac:dyDescent="0.25">
      <c r="A233" s="189" t="s">
        <v>375</v>
      </c>
      <c r="B233" s="189"/>
      <c r="C233" s="60">
        <v>57</v>
      </c>
      <c r="D233" s="134">
        <v>51146</v>
      </c>
      <c r="E233" s="134">
        <v>51146</v>
      </c>
      <c r="F233" s="145">
        <f>F234</f>
        <v>7042</v>
      </c>
      <c r="G233" s="146"/>
      <c r="H233" s="147"/>
      <c r="I233" s="147"/>
      <c r="J233" s="147"/>
      <c r="K233" s="148"/>
    </row>
    <row r="234" spans="1:11" ht="15.75" x14ac:dyDescent="0.25">
      <c r="A234" s="192" t="s">
        <v>376</v>
      </c>
      <c r="B234" s="192"/>
      <c r="C234" s="60" t="s">
        <v>377</v>
      </c>
      <c r="D234" s="136">
        <v>163</v>
      </c>
      <c r="E234" s="136">
        <v>163</v>
      </c>
      <c r="F234" s="137">
        <v>7042</v>
      </c>
      <c r="G234" s="142"/>
      <c r="H234" s="143"/>
      <c r="I234" s="143"/>
      <c r="J234" s="143"/>
      <c r="K234" s="144"/>
    </row>
    <row r="235" spans="1:11" ht="15.75" x14ac:dyDescent="0.25">
      <c r="A235" s="189" t="s">
        <v>378</v>
      </c>
      <c r="B235" s="189"/>
      <c r="C235" s="65">
        <v>58</v>
      </c>
      <c r="D235" s="134">
        <f>D226+D233</f>
        <v>445606</v>
      </c>
      <c r="E235" s="149">
        <f t="shared" ref="E235:K235" si="59">E226+E233</f>
        <v>445606</v>
      </c>
      <c r="F235" s="149">
        <f t="shared" si="59"/>
        <v>576144</v>
      </c>
      <c r="G235" s="149">
        <f t="shared" si="59"/>
        <v>569102</v>
      </c>
      <c r="H235" s="150">
        <f>H226+H233</f>
        <v>569102</v>
      </c>
      <c r="I235" s="150">
        <f t="shared" si="59"/>
        <v>569102</v>
      </c>
      <c r="J235" s="150">
        <f t="shared" si="59"/>
        <v>569102</v>
      </c>
      <c r="K235" s="150">
        <f t="shared" si="59"/>
        <v>569102</v>
      </c>
    </row>
    <row r="236" spans="1:11" ht="15.75" x14ac:dyDescent="0.25">
      <c r="A236" s="189" t="s">
        <v>379</v>
      </c>
      <c r="B236" s="189"/>
      <c r="C236" s="65">
        <v>59</v>
      </c>
      <c r="D236" s="134">
        <v>202954</v>
      </c>
      <c r="E236" s="134">
        <v>202954</v>
      </c>
      <c r="F236" s="145">
        <v>381954</v>
      </c>
      <c r="G236" s="146">
        <f>F236</f>
        <v>381954</v>
      </c>
      <c r="H236" s="147">
        <f t="shared" ref="H236:K236" si="60">G236</f>
        <v>381954</v>
      </c>
      <c r="I236" s="147">
        <f t="shared" si="60"/>
        <v>381954</v>
      </c>
      <c r="J236" s="147">
        <f t="shared" si="60"/>
        <v>381954</v>
      </c>
      <c r="K236" s="147">
        <f t="shared" si="60"/>
        <v>381954</v>
      </c>
    </row>
    <row r="237" spans="1:11" ht="15.75" x14ac:dyDescent="0.25">
      <c r="A237" s="189" t="s">
        <v>380</v>
      </c>
      <c r="B237" s="189"/>
      <c r="C237" s="65">
        <v>60</v>
      </c>
      <c r="D237" s="134">
        <v>251317</v>
      </c>
      <c r="E237" s="134">
        <v>251317</v>
      </c>
      <c r="F237" s="145">
        <v>271910</v>
      </c>
      <c r="G237" s="146">
        <f>F237</f>
        <v>271910</v>
      </c>
      <c r="H237" s="147">
        <f t="shared" ref="H237:K237" si="61">G237</f>
        <v>271910</v>
      </c>
      <c r="I237" s="147">
        <f t="shared" si="61"/>
        <v>271910</v>
      </c>
      <c r="J237" s="147">
        <f t="shared" si="61"/>
        <v>271910</v>
      </c>
      <c r="K237" s="147">
        <f t="shared" si="61"/>
        <v>271910</v>
      </c>
    </row>
    <row r="238" spans="1:11" ht="15.75" x14ac:dyDescent="0.25">
      <c r="A238" s="189" t="s">
        <v>381</v>
      </c>
      <c r="B238" s="189"/>
      <c r="C238" s="65">
        <v>61</v>
      </c>
      <c r="D238" s="134">
        <v>1866</v>
      </c>
      <c r="E238" s="134">
        <v>1866</v>
      </c>
      <c r="F238" s="145">
        <v>2726</v>
      </c>
      <c r="G238" s="146">
        <f>F238</f>
        <v>2726</v>
      </c>
      <c r="H238" s="147">
        <f t="shared" ref="H238:K238" si="62">G238</f>
        <v>2726</v>
      </c>
      <c r="I238" s="147">
        <f t="shared" si="62"/>
        <v>2726</v>
      </c>
      <c r="J238" s="147">
        <f t="shared" si="62"/>
        <v>2726</v>
      </c>
      <c r="K238" s="147">
        <f t="shared" si="62"/>
        <v>2726</v>
      </c>
    </row>
    <row r="239" spans="1:11" ht="15.75" x14ac:dyDescent="0.25">
      <c r="A239" s="203" t="s">
        <v>382</v>
      </c>
      <c r="B239" s="194"/>
      <c r="C239" s="194"/>
      <c r="D239" s="194"/>
      <c r="E239" s="194"/>
      <c r="F239" s="194"/>
      <c r="G239" s="194"/>
      <c r="H239" s="194"/>
      <c r="I239" s="194"/>
      <c r="J239" s="194"/>
      <c r="K239" s="195"/>
    </row>
    <row r="240" spans="1:11" ht="15.75" x14ac:dyDescent="0.25">
      <c r="A240" s="189" t="s">
        <v>383</v>
      </c>
      <c r="B240" s="189"/>
      <c r="C240" s="38">
        <v>62</v>
      </c>
      <c r="D240" s="47">
        <f t="shared" ref="D240:K240" si="63">SUM(D241:D243)</f>
        <v>0</v>
      </c>
      <c r="E240" s="47">
        <f t="shared" si="63"/>
        <v>0</v>
      </c>
      <c r="F240" s="47">
        <f t="shared" si="63"/>
        <v>0</v>
      </c>
      <c r="G240" s="47">
        <f t="shared" si="63"/>
        <v>0</v>
      </c>
      <c r="H240" s="47">
        <f t="shared" si="63"/>
        <v>0</v>
      </c>
      <c r="I240" s="47">
        <f t="shared" si="63"/>
        <v>0</v>
      </c>
      <c r="J240" s="47">
        <f t="shared" si="63"/>
        <v>0</v>
      </c>
      <c r="K240" s="47">
        <f t="shared" si="63"/>
        <v>0</v>
      </c>
    </row>
    <row r="241" spans="1:11" ht="15.75" x14ac:dyDescent="0.25">
      <c r="A241" s="192" t="s">
        <v>384</v>
      </c>
      <c r="B241" s="192"/>
      <c r="C241" s="60" t="s">
        <v>385</v>
      </c>
      <c r="D241" s="47"/>
      <c r="E241" s="47"/>
      <c r="F241" s="47"/>
      <c r="G241" s="47"/>
      <c r="H241" s="47"/>
      <c r="I241" s="47"/>
      <c r="J241" s="47"/>
      <c r="K241" s="47"/>
    </row>
    <row r="242" spans="1:11" ht="15.75" x14ac:dyDescent="0.25">
      <c r="A242" s="192" t="s">
        <v>386</v>
      </c>
      <c r="B242" s="192"/>
      <c r="C242" s="60" t="s">
        <v>387</v>
      </c>
      <c r="D242" s="47"/>
      <c r="E242" s="47"/>
      <c r="F242" s="47"/>
      <c r="G242" s="47"/>
      <c r="H242" s="47"/>
      <c r="I242" s="47"/>
      <c r="J242" s="47"/>
      <c r="K242" s="47"/>
    </row>
    <row r="243" spans="1:11" ht="15.75" x14ac:dyDescent="0.25">
      <c r="A243" s="192" t="s">
        <v>388</v>
      </c>
      <c r="B243" s="192"/>
      <c r="C243" s="60" t="s">
        <v>389</v>
      </c>
      <c r="D243" s="47"/>
      <c r="E243" s="47"/>
      <c r="F243" s="47"/>
      <c r="G243" s="47"/>
      <c r="H243" s="47"/>
      <c r="I243" s="47"/>
      <c r="J243" s="47"/>
      <c r="K243" s="47"/>
    </row>
    <row r="244" spans="1:11" ht="15.75" x14ac:dyDescent="0.25">
      <c r="A244" s="189" t="s">
        <v>390</v>
      </c>
      <c r="B244" s="189"/>
      <c r="C244" s="38">
        <v>63</v>
      </c>
      <c r="D244" s="47">
        <f t="shared" ref="D244:K244" si="64">D245+D248+D251</f>
        <v>0</v>
      </c>
      <c r="E244" s="47">
        <f t="shared" si="64"/>
        <v>0</v>
      </c>
      <c r="F244" s="47">
        <f t="shared" si="64"/>
        <v>0</v>
      </c>
      <c r="G244" s="47">
        <f t="shared" si="64"/>
        <v>0</v>
      </c>
      <c r="H244" s="47">
        <f t="shared" si="64"/>
        <v>0</v>
      </c>
      <c r="I244" s="47">
        <f t="shared" si="64"/>
        <v>0</v>
      </c>
      <c r="J244" s="47">
        <f t="shared" si="64"/>
        <v>0</v>
      </c>
      <c r="K244" s="47">
        <f t="shared" si="64"/>
        <v>0</v>
      </c>
    </row>
    <row r="245" spans="1:11" ht="15.75" x14ac:dyDescent="0.25">
      <c r="A245" s="205" t="s">
        <v>391</v>
      </c>
      <c r="B245" s="205"/>
      <c r="C245" s="62" t="s">
        <v>392</v>
      </c>
      <c r="D245" s="47">
        <f t="shared" ref="D245:K245" si="65">SUM(D246:D247)</f>
        <v>0</v>
      </c>
      <c r="E245" s="47">
        <f t="shared" si="65"/>
        <v>0</v>
      </c>
      <c r="F245" s="47">
        <f t="shared" si="65"/>
        <v>0</v>
      </c>
      <c r="G245" s="47">
        <f t="shared" si="65"/>
        <v>0</v>
      </c>
      <c r="H245" s="47">
        <f t="shared" si="65"/>
        <v>0</v>
      </c>
      <c r="I245" s="47">
        <f t="shared" si="65"/>
        <v>0</v>
      </c>
      <c r="J245" s="47">
        <f t="shared" si="65"/>
        <v>0</v>
      </c>
      <c r="K245" s="47">
        <f t="shared" si="65"/>
        <v>0</v>
      </c>
    </row>
    <row r="246" spans="1:11" ht="15.75" x14ac:dyDescent="0.25">
      <c r="A246" s="192" t="s">
        <v>319</v>
      </c>
      <c r="B246" s="192"/>
      <c r="C246" s="60" t="s">
        <v>393</v>
      </c>
      <c r="D246" s="47"/>
      <c r="E246" s="47"/>
      <c r="F246" s="47"/>
      <c r="G246" s="47"/>
      <c r="H246" s="47"/>
      <c r="I246" s="47"/>
      <c r="J246" s="47"/>
      <c r="K246" s="47"/>
    </row>
    <row r="247" spans="1:11" ht="15.75" x14ac:dyDescent="0.25">
      <c r="A247" s="192" t="s">
        <v>321</v>
      </c>
      <c r="B247" s="192"/>
      <c r="C247" s="60" t="s">
        <v>394</v>
      </c>
      <c r="D247" s="47"/>
      <c r="E247" s="47"/>
      <c r="F247" s="47"/>
      <c r="G247" s="47"/>
      <c r="H247" s="47"/>
      <c r="I247" s="47"/>
      <c r="J247" s="47"/>
      <c r="K247" s="47"/>
    </row>
    <row r="248" spans="1:11" ht="15.75" x14ac:dyDescent="0.25">
      <c r="A248" s="205" t="s">
        <v>395</v>
      </c>
      <c r="B248" s="205"/>
      <c r="C248" s="62" t="s">
        <v>396</v>
      </c>
      <c r="D248" s="47">
        <f t="shared" ref="D248:K248" si="66">SUM(D249:D250)</f>
        <v>0</v>
      </c>
      <c r="E248" s="47">
        <f t="shared" si="66"/>
        <v>0</v>
      </c>
      <c r="F248" s="47">
        <f t="shared" si="66"/>
        <v>0</v>
      </c>
      <c r="G248" s="47">
        <f t="shared" si="66"/>
        <v>0</v>
      </c>
      <c r="H248" s="47">
        <f t="shared" si="66"/>
        <v>0</v>
      </c>
      <c r="I248" s="47">
        <f t="shared" si="66"/>
        <v>0</v>
      </c>
      <c r="J248" s="47">
        <f t="shared" si="66"/>
        <v>0</v>
      </c>
      <c r="K248" s="47">
        <f t="shared" si="66"/>
        <v>0</v>
      </c>
    </row>
    <row r="249" spans="1:11" ht="15.75" x14ac:dyDescent="0.25">
      <c r="A249" s="192" t="s">
        <v>319</v>
      </c>
      <c r="B249" s="192"/>
      <c r="C249" s="60" t="s">
        <v>397</v>
      </c>
      <c r="D249" s="47"/>
      <c r="E249" s="47"/>
      <c r="F249" s="47"/>
      <c r="G249" s="47"/>
      <c r="H249" s="47"/>
      <c r="I249" s="47"/>
      <c r="J249" s="47"/>
      <c r="K249" s="47"/>
    </row>
    <row r="250" spans="1:11" ht="15.75" x14ac:dyDescent="0.25">
      <c r="A250" s="192" t="s">
        <v>321</v>
      </c>
      <c r="B250" s="192"/>
      <c r="C250" s="60" t="s">
        <v>398</v>
      </c>
      <c r="D250" s="47"/>
      <c r="E250" s="47"/>
      <c r="F250" s="47"/>
      <c r="G250" s="47"/>
      <c r="H250" s="47"/>
      <c r="I250" s="47"/>
      <c r="J250" s="47"/>
      <c r="K250" s="47"/>
    </row>
    <row r="251" spans="1:11" ht="15.75" x14ac:dyDescent="0.25">
      <c r="A251" s="205" t="s">
        <v>399</v>
      </c>
      <c r="B251" s="205"/>
      <c r="C251" s="62" t="s">
        <v>400</v>
      </c>
      <c r="D251" s="47">
        <f t="shared" ref="D251:K251" si="67">SUM(D252:D253)</f>
        <v>0</v>
      </c>
      <c r="E251" s="47">
        <f t="shared" si="67"/>
        <v>0</v>
      </c>
      <c r="F251" s="47">
        <f t="shared" si="67"/>
        <v>0</v>
      </c>
      <c r="G251" s="47">
        <f t="shared" si="67"/>
        <v>0</v>
      </c>
      <c r="H251" s="47">
        <f t="shared" si="67"/>
        <v>0</v>
      </c>
      <c r="I251" s="47">
        <f t="shared" si="67"/>
        <v>0</v>
      </c>
      <c r="J251" s="47">
        <f t="shared" si="67"/>
        <v>0</v>
      </c>
      <c r="K251" s="47">
        <f t="shared" si="67"/>
        <v>0</v>
      </c>
    </row>
    <row r="252" spans="1:11" ht="15.75" x14ac:dyDescent="0.25">
      <c r="A252" s="192" t="s">
        <v>319</v>
      </c>
      <c r="B252" s="192"/>
      <c r="C252" s="60" t="s">
        <v>401</v>
      </c>
      <c r="D252" s="47"/>
      <c r="E252" s="47"/>
      <c r="F252" s="47"/>
      <c r="G252" s="47"/>
      <c r="H252" s="47"/>
      <c r="I252" s="47"/>
      <c r="J252" s="47"/>
      <c r="K252" s="47"/>
    </row>
    <row r="253" spans="1:11" ht="15.75" x14ac:dyDescent="0.25">
      <c r="A253" s="192" t="s">
        <v>321</v>
      </c>
      <c r="B253" s="192"/>
      <c r="C253" s="60" t="s">
        <v>402</v>
      </c>
      <c r="D253" s="47"/>
      <c r="E253" s="47"/>
      <c r="F253" s="47"/>
      <c r="G253" s="47"/>
      <c r="H253" s="47"/>
      <c r="I253" s="47"/>
      <c r="J253" s="47"/>
      <c r="K253" s="47"/>
    </row>
    <row r="254" spans="1:11" ht="15.75" x14ac:dyDescent="0.25">
      <c r="A254" s="189" t="s">
        <v>403</v>
      </c>
      <c r="B254" s="189"/>
      <c r="C254" s="38">
        <v>64</v>
      </c>
      <c r="D254" s="47">
        <f t="shared" ref="D254:K254" si="68">SUM(D255:D257)</f>
        <v>0</v>
      </c>
      <c r="E254" s="47">
        <f t="shared" si="68"/>
        <v>0</v>
      </c>
      <c r="F254" s="47">
        <f t="shared" si="68"/>
        <v>0</v>
      </c>
      <c r="G254" s="47">
        <f t="shared" si="68"/>
        <v>0</v>
      </c>
      <c r="H254" s="47">
        <f t="shared" si="68"/>
        <v>0</v>
      </c>
      <c r="I254" s="47">
        <f t="shared" si="68"/>
        <v>0</v>
      </c>
      <c r="J254" s="47">
        <f t="shared" si="68"/>
        <v>0</v>
      </c>
      <c r="K254" s="47">
        <f t="shared" si="68"/>
        <v>0</v>
      </c>
    </row>
    <row r="255" spans="1:11" ht="15.75" x14ac:dyDescent="0.25">
      <c r="A255" s="192" t="s">
        <v>384</v>
      </c>
      <c r="B255" s="192"/>
      <c r="C255" s="60" t="s">
        <v>404</v>
      </c>
      <c r="D255" s="47"/>
      <c r="E255" s="47"/>
      <c r="F255" s="47"/>
      <c r="G255" s="47"/>
      <c r="H255" s="47"/>
      <c r="I255" s="47"/>
      <c r="J255" s="47"/>
      <c r="K255" s="47"/>
    </row>
    <row r="256" spans="1:11" ht="15.75" x14ac:dyDescent="0.25">
      <c r="A256" s="192" t="s">
        <v>386</v>
      </c>
      <c r="B256" s="192"/>
      <c r="C256" s="60" t="s">
        <v>405</v>
      </c>
      <c r="D256" s="47"/>
      <c r="E256" s="47"/>
      <c r="F256" s="47"/>
      <c r="G256" s="47"/>
      <c r="H256" s="47"/>
      <c r="I256" s="47"/>
      <c r="J256" s="47"/>
      <c r="K256" s="47"/>
    </row>
    <row r="257" spans="1:11" ht="15.75" x14ac:dyDescent="0.25">
      <c r="A257" s="192" t="s">
        <v>388</v>
      </c>
      <c r="B257" s="192"/>
      <c r="C257" s="60" t="s">
        <v>406</v>
      </c>
      <c r="D257" s="47"/>
      <c r="E257" s="47"/>
      <c r="F257" s="47"/>
      <c r="G257" s="47"/>
      <c r="H257" s="47"/>
      <c r="I257" s="47"/>
      <c r="J257" s="47"/>
      <c r="K257" s="47"/>
    </row>
    <row r="258" spans="1:11" ht="15.75" x14ac:dyDescent="0.25">
      <c r="A258" s="203" t="s">
        <v>407</v>
      </c>
      <c r="B258" s="194"/>
      <c r="C258" s="194"/>
      <c r="D258" s="194"/>
      <c r="E258" s="194"/>
      <c r="F258" s="194"/>
      <c r="G258" s="194"/>
      <c r="H258" s="194"/>
      <c r="I258" s="194"/>
      <c r="J258" s="194"/>
      <c r="K258" s="195"/>
    </row>
    <row r="259" spans="1:11" ht="15.75" x14ac:dyDescent="0.25">
      <c r="A259" s="189" t="s">
        <v>408</v>
      </c>
      <c r="B259" s="189"/>
      <c r="C259" s="38">
        <v>65</v>
      </c>
      <c r="D259" s="112">
        <f t="shared" ref="D259:K259" si="69">D151/D235</f>
        <v>0.36252955943142595</v>
      </c>
      <c r="E259" s="112">
        <f t="shared" si="69"/>
        <v>0.34986327832210512</v>
      </c>
      <c r="F259" s="112">
        <f t="shared" si="69"/>
        <v>0.2283093014934843</v>
      </c>
      <c r="G259" s="112">
        <f t="shared" si="69"/>
        <v>0.37420197785282783</v>
      </c>
      <c r="H259" s="112">
        <f t="shared" si="69"/>
        <v>9.3331964041595356E-2</v>
      </c>
      <c r="I259" s="112">
        <f t="shared" si="69"/>
        <v>9.3783967724590675E-2</v>
      </c>
      <c r="J259" s="112">
        <f t="shared" si="69"/>
        <v>9.3778513517787668E-2</v>
      </c>
      <c r="K259" s="112">
        <f t="shared" si="69"/>
        <v>9.3307532568854087E-2</v>
      </c>
    </row>
    <row r="260" spans="1:11" ht="15.75" x14ac:dyDescent="0.25">
      <c r="A260" s="189" t="s">
        <v>409</v>
      </c>
      <c r="B260" s="189"/>
      <c r="C260" s="38">
        <v>66</v>
      </c>
      <c r="D260" s="112">
        <f t="shared" ref="D260:K260" si="70">D149/D63</f>
        <v>-0.1090668010759322</v>
      </c>
      <c r="E260" s="112">
        <f t="shared" si="70"/>
        <v>0</v>
      </c>
      <c r="F260" s="112">
        <f t="shared" si="70"/>
        <v>0</v>
      </c>
      <c r="G260" s="112">
        <f t="shared" si="70"/>
        <v>0</v>
      </c>
      <c r="H260" s="112">
        <f t="shared" si="70"/>
        <v>-6.1321793313069743E-2</v>
      </c>
      <c r="I260" s="112">
        <f t="shared" si="70"/>
        <v>0</v>
      </c>
      <c r="J260" s="112">
        <f t="shared" si="70"/>
        <v>0</v>
      </c>
      <c r="K260" s="112">
        <f t="shared" si="70"/>
        <v>-7.2810547112461849E-2</v>
      </c>
    </row>
    <row r="261" spans="1:11" ht="15.75" x14ac:dyDescent="0.25">
      <c r="A261" s="189" t="s">
        <v>410</v>
      </c>
      <c r="B261" s="189"/>
      <c r="C261" s="38">
        <v>67</v>
      </c>
      <c r="D261" s="112">
        <f>D236/(D237+D238)</f>
        <v>0.8016099027185869</v>
      </c>
      <c r="E261" s="112">
        <f t="shared" ref="E261:K261" si="71">E236/(E237+E238)</f>
        <v>0.8016099027185869</v>
      </c>
      <c r="F261" s="112">
        <f t="shared" si="71"/>
        <v>1.3907645028328406</v>
      </c>
      <c r="G261" s="112">
        <f>G236/(G237+G238)</f>
        <v>1.3907645028328406</v>
      </c>
      <c r="H261" s="112">
        <f t="shared" si="71"/>
        <v>1.3907645028328406</v>
      </c>
      <c r="I261" s="112">
        <f t="shared" si="71"/>
        <v>1.3907645028328406</v>
      </c>
      <c r="J261" s="112">
        <f t="shared" si="71"/>
        <v>1.3907645028328406</v>
      </c>
      <c r="K261" s="112">
        <f t="shared" si="71"/>
        <v>1.3907645028328406</v>
      </c>
    </row>
    <row r="262" spans="1:11" ht="15.75" x14ac:dyDescent="0.25">
      <c r="A262" s="189" t="s">
        <v>411</v>
      </c>
      <c r="B262" s="189"/>
      <c r="C262" s="38">
        <v>68</v>
      </c>
      <c r="D262" s="112">
        <f>D233/D237</f>
        <v>0.20351189931441169</v>
      </c>
      <c r="E262" s="112">
        <f t="shared" ref="E262:K262" si="72">E233/E237</f>
        <v>0.20351189931441169</v>
      </c>
      <c r="F262" s="112">
        <f t="shared" si="72"/>
        <v>2.5898275164576514E-2</v>
      </c>
      <c r="G262" s="112">
        <f t="shared" si="72"/>
        <v>0</v>
      </c>
      <c r="H262" s="112">
        <f t="shared" si="72"/>
        <v>0</v>
      </c>
      <c r="I262" s="112">
        <f t="shared" si="72"/>
        <v>0</v>
      </c>
      <c r="J262" s="112">
        <f t="shared" si="72"/>
        <v>0</v>
      </c>
      <c r="K262" s="112">
        <f t="shared" si="72"/>
        <v>0</v>
      </c>
    </row>
    <row r="263" spans="1:11" ht="15.75" x14ac:dyDescent="0.25">
      <c r="A263" s="203" t="s">
        <v>412</v>
      </c>
      <c r="B263" s="194"/>
      <c r="C263" s="194"/>
      <c r="D263" s="194"/>
      <c r="E263" s="194"/>
      <c r="F263" s="194"/>
      <c r="G263" s="194"/>
      <c r="H263" s="194"/>
      <c r="I263" s="194"/>
      <c r="J263" s="194"/>
      <c r="K263" s="195"/>
    </row>
    <row r="264" spans="1:11" s="73" customFormat="1" ht="45.95" customHeight="1" x14ac:dyDescent="0.2">
      <c r="A264" s="211" t="s">
        <v>413</v>
      </c>
      <c r="B264" s="212"/>
      <c r="C264" s="71" t="s">
        <v>86</v>
      </c>
      <c r="D264" s="72" t="s">
        <v>414</v>
      </c>
      <c r="E264" s="72" t="s">
        <v>415</v>
      </c>
      <c r="F264" s="72" t="s">
        <v>416</v>
      </c>
      <c r="G264" s="72" t="s">
        <v>417</v>
      </c>
      <c r="H264" s="213" t="s">
        <v>418</v>
      </c>
      <c r="I264" s="214"/>
      <c r="J264" s="213" t="s">
        <v>419</v>
      </c>
      <c r="K264" s="215"/>
    </row>
    <row r="265" spans="1:11" ht="15.75" x14ac:dyDescent="0.25">
      <c r="A265" s="192" t="s">
        <v>420</v>
      </c>
      <c r="B265" s="190"/>
      <c r="C265" s="74">
        <v>69</v>
      </c>
      <c r="D265" s="70">
        <v>261</v>
      </c>
      <c r="E265" s="106">
        <f>SUM(E266:E268)</f>
        <v>350</v>
      </c>
      <c r="F265" s="68">
        <v>466</v>
      </c>
      <c r="G265" s="77">
        <v>526</v>
      </c>
      <c r="H265" s="216">
        <f>G265/F265</f>
        <v>1.1287553648068669</v>
      </c>
      <c r="I265" s="217"/>
      <c r="J265" s="218">
        <f>G265/D265</f>
        <v>2.0153256704980844</v>
      </c>
      <c r="K265" s="219"/>
    </row>
    <row r="266" spans="1:11" ht="15.75" x14ac:dyDescent="0.25">
      <c r="A266" s="192" t="s">
        <v>421</v>
      </c>
      <c r="B266" s="190"/>
      <c r="C266" s="75" t="s">
        <v>422</v>
      </c>
      <c r="D266" s="66">
        <v>1</v>
      </c>
      <c r="E266" s="107">
        <f>D266</f>
        <v>1</v>
      </c>
      <c r="F266" s="66">
        <v>1</v>
      </c>
      <c r="G266" s="80">
        <f>F266</f>
        <v>1</v>
      </c>
      <c r="H266" s="207">
        <f>G266/F266</f>
        <v>1</v>
      </c>
      <c r="I266" s="208"/>
      <c r="J266" s="209">
        <f>G266/D266</f>
        <v>1</v>
      </c>
      <c r="K266" s="210"/>
    </row>
    <row r="267" spans="1:11" ht="15.75" x14ac:dyDescent="0.25">
      <c r="A267" s="192" t="s">
        <v>423</v>
      </c>
      <c r="B267" s="190"/>
      <c r="C267" s="75" t="s">
        <v>424</v>
      </c>
      <c r="D267" s="66">
        <v>24</v>
      </c>
      <c r="E267" s="107">
        <v>30</v>
      </c>
      <c r="F267" s="66">
        <v>32</v>
      </c>
      <c r="G267" s="80">
        <v>34</v>
      </c>
      <c r="H267" s="207">
        <f>G267/F267</f>
        <v>1.0625</v>
      </c>
      <c r="I267" s="208"/>
      <c r="J267" s="209">
        <f>G267/D267</f>
        <v>1.4166666666666667</v>
      </c>
      <c r="K267" s="210"/>
    </row>
    <row r="268" spans="1:11" ht="15.75" x14ac:dyDescent="0.25">
      <c r="A268" s="192" t="s">
        <v>425</v>
      </c>
      <c r="B268" s="190"/>
      <c r="C268" s="75" t="s">
        <v>426</v>
      </c>
      <c r="D268" s="66">
        <v>236</v>
      </c>
      <c r="E268" s="107">
        <f>10+131+37+17+21+19+7+8+20+21+7+3+18</f>
        <v>319</v>
      </c>
      <c r="F268" s="66">
        <f>F265-F266-F267</f>
        <v>433</v>
      </c>
      <c r="G268" s="80">
        <f>G265-G266-G267</f>
        <v>491</v>
      </c>
      <c r="H268" s="207">
        <f>G268/F268</f>
        <v>1.1339491916859123</v>
      </c>
      <c r="I268" s="208"/>
      <c r="J268" s="209">
        <f>G268/D268</f>
        <v>2.0805084745762712</v>
      </c>
      <c r="K268" s="210"/>
    </row>
    <row r="269" spans="1:11" ht="15.75" x14ac:dyDescent="0.25">
      <c r="A269" s="189" t="s">
        <v>427</v>
      </c>
      <c r="B269" s="189"/>
      <c r="C269" s="74">
        <v>70</v>
      </c>
      <c r="D269" s="76">
        <f>SUM(D270:D272)</f>
        <v>35652.591840000001</v>
      </c>
      <c r="E269" s="106">
        <f>SUM(E270:E272)</f>
        <v>56435</v>
      </c>
      <c r="F269" s="106">
        <f>10106+17206.047+19549.36</f>
        <v>46861.406999999999</v>
      </c>
      <c r="G269" s="106">
        <f>(6516425*1.4*12)/1000</f>
        <v>109475.94</v>
      </c>
      <c r="H269" s="220">
        <f t="shared" ref="H269:H280" si="73">G269/F269</f>
        <v>2.3361641702307403</v>
      </c>
      <c r="I269" s="221"/>
      <c r="J269" s="222">
        <f t="shared" ref="J269:J280" si="74">G269/D269</f>
        <v>3.0706306147755233</v>
      </c>
      <c r="K269" s="223"/>
    </row>
    <row r="270" spans="1:11" ht="15.75" x14ac:dyDescent="0.25">
      <c r="A270" s="192" t="s">
        <v>421</v>
      </c>
      <c r="B270" s="190"/>
      <c r="C270" s="75" t="s">
        <v>428</v>
      </c>
      <c r="D270" s="78">
        <v>413.65</v>
      </c>
      <c r="E270" s="107">
        <v>240</v>
      </c>
      <c r="F270" s="107">
        <f>207+103.341+114.822</f>
        <v>425.16300000000001</v>
      </c>
      <c r="G270" s="107">
        <f>(38274*12)/1000</f>
        <v>459.28800000000001</v>
      </c>
      <c r="H270" s="207">
        <f t="shared" si="73"/>
        <v>1.0802633342976693</v>
      </c>
      <c r="I270" s="208"/>
      <c r="J270" s="209">
        <f t="shared" si="74"/>
        <v>1.1103299891212379</v>
      </c>
      <c r="K270" s="210"/>
    </row>
    <row r="271" spans="1:11" ht="15.75" x14ac:dyDescent="0.25">
      <c r="A271" s="192" t="s">
        <v>423</v>
      </c>
      <c r="B271" s="190"/>
      <c r="C271" s="75" t="s">
        <v>429</v>
      </c>
      <c r="D271" s="108">
        <v>4488.45</v>
      </c>
      <c r="E271" s="78">
        <v>7143</v>
      </c>
      <c r="F271" s="78">
        <f>2398.38722+1380.357+2320.26</f>
        <v>6099.0042200000007</v>
      </c>
      <c r="G271" s="78">
        <f>808.824*12</f>
        <v>9705.887999999999</v>
      </c>
      <c r="H271" s="207">
        <f t="shared" si="73"/>
        <v>1.5913889628362969</v>
      </c>
      <c r="I271" s="208"/>
      <c r="J271" s="209">
        <f t="shared" si="74"/>
        <v>2.1624141964375228</v>
      </c>
      <c r="K271" s="210"/>
    </row>
    <row r="272" spans="1:11" ht="17.45" customHeight="1" x14ac:dyDescent="0.25">
      <c r="A272" s="192" t="s">
        <v>425</v>
      </c>
      <c r="B272" s="190"/>
      <c r="C272" s="75" t="s">
        <v>430</v>
      </c>
      <c r="D272" s="67">
        <f>D76</f>
        <v>30750.491840000002</v>
      </c>
      <c r="E272" s="78">
        <v>49052</v>
      </c>
      <c r="F272" s="78">
        <f>F269-F270-F271</f>
        <v>40337.239779999996</v>
      </c>
      <c r="G272" s="78">
        <f>G269-G270-G271</f>
        <v>99310.763999999996</v>
      </c>
      <c r="H272" s="207">
        <f t="shared" si="73"/>
        <v>2.4620118912856364</v>
      </c>
      <c r="I272" s="208"/>
      <c r="J272" s="209">
        <f t="shared" si="74"/>
        <v>3.2295666852007003</v>
      </c>
      <c r="K272" s="210"/>
    </row>
    <row r="273" spans="1:11" ht="30.6" customHeight="1" x14ac:dyDescent="0.25">
      <c r="A273" s="189" t="s">
        <v>431</v>
      </c>
      <c r="B273" s="189"/>
      <c r="C273" s="74">
        <v>71</v>
      </c>
      <c r="D273" s="76">
        <f>SUM(D274:D276)</f>
        <v>43482</v>
      </c>
      <c r="E273" s="76">
        <f>SUM(E274:E276)</f>
        <v>68851.345000000001</v>
      </c>
      <c r="F273" s="76">
        <f>SUM(F274:F276)</f>
        <v>57170.916539999998</v>
      </c>
      <c r="G273" s="76">
        <f>SUM(G274:G276)</f>
        <v>133560.64679999999</v>
      </c>
      <c r="H273" s="220">
        <f t="shared" si="73"/>
        <v>2.3361641702307399</v>
      </c>
      <c r="I273" s="221"/>
      <c r="J273" s="222">
        <f t="shared" si="74"/>
        <v>3.0716307161584102</v>
      </c>
      <c r="K273" s="223"/>
    </row>
    <row r="274" spans="1:11" ht="15.75" x14ac:dyDescent="0.25">
      <c r="A274" s="192" t="s">
        <v>421</v>
      </c>
      <c r="B274" s="190"/>
      <c r="C274" s="75" t="s">
        <v>432</v>
      </c>
      <c r="D274" s="78">
        <v>505</v>
      </c>
      <c r="E274" s="78">
        <v>293.34500000000003</v>
      </c>
      <c r="F274" s="78">
        <f>F270*0.22+F270</f>
        <v>518.69885999999997</v>
      </c>
      <c r="G274" s="78">
        <f>G270*1.22</f>
        <v>560.33136000000002</v>
      </c>
      <c r="H274" s="207">
        <f t="shared" si="73"/>
        <v>1.0802633342976695</v>
      </c>
      <c r="I274" s="208"/>
      <c r="J274" s="209">
        <f t="shared" si="74"/>
        <v>1.1095670495049506</v>
      </c>
      <c r="K274" s="210"/>
    </row>
    <row r="275" spans="1:11" ht="15.75" x14ac:dyDescent="0.25">
      <c r="A275" s="192" t="s">
        <v>423</v>
      </c>
      <c r="B275" s="190"/>
      <c r="C275" s="75" t="s">
        <v>433</v>
      </c>
      <c r="D275" s="108">
        <v>5463</v>
      </c>
      <c r="E275" s="108">
        <v>8714</v>
      </c>
      <c r="F275" s="108">
        <f>F271*0.22+F271</f>
        <v>7440.7851484000012</v>
      </c>
      <c r="G275" s="108">
        <f>G271*1.22</f>
        <v>11841.183359999999</v>
      </c>
      <c r="H275" s="207">
        <f t="shared" si="73"/>
        <v>1.5913889628362969</v>
      </c>
      <c r="I275" s="208"/>
      <c r="J275" s="209">
        <f t="shared" si="74"/>
        <v>2.1675239538714992</v>
      </c>
      <c r="K275" s="210"/>
    </row>
    <row r="276" spans="1:11" ht="15.75" x14ac:dyDescent="0.25">
      <c r="A276" s="192" t="s">
        <v>425</v>
      </c>
      <c r="B276" s="190"/>
      <c r="C276" s="75" t="s">
        <v>434</v>
      </c>
      <c r="D276" s="67">
        <v>37514</v>
      </c>
      <c r="E276" s="67">
        <v>59844</v>
      </c>
      <c r="F276" s="67">
        <f>F272*0.22+F272</f>
        <v>49211.432531599996</v>
      </c>
      <c r="G276" s="67">
        <f>G272*1.22</f>
        <v>121159.13208</v>
      </c>
      <c r="H276" s="207">
        <f t="shared" si="73"/>
        <v>2.4620118912856364</v>
      </c>
      <c r="I276" s="208"/>
      <c r="J276" s="209">
        <f t="shared" si="74"/>
        <v>3.2297044324785413</v>
      </c>
      <c r="K276" s="210"/>
    </row>
    <row r="277" spans="1:11" ht="36" customHeight="1" x14ac:dyDescent="0.25">
      <c r="A277" s="189" t="s">
        <v>435</v>
      </c>
      <c r="B277" s="224"/>
      <c r="C277" s="74">
        <v>72</v>
      </c>
      <c r="D277" s="76">
        <f>(D273/D265/12)*1000</f>
        <v>13883.141762452107</v>
      </c>
      <c r="E277" s="76">
        <f t="shared" ref="E277:G277" si="75">(E273/E265/12)*1000</f>
        <v>16393.17738095238</v>
      </c>
      <c r="F277" s="76">
        <f t="shared" si="75"/>
        <v>10223.697521459228</v>
      </c>
      <c r="G277" s="76">
        <f t="shared" si="75"/>
        <v>21159.798288973379</v>
      </c>
      <c r="H277" s="220">
        <f t="shared" si="73"/>
        <v>2.0696815652614537</v>
      </c>
      <c r="I277" s="221"/>
      <c r="J277" s="222">
        <f t="shared" si="74"/>
        <v>1.5241361538352565</v>
      </c>
      <c r="K277" s="223"/>
    </row>
    <row r="278" spans="1:11" ht="15.75" x14ac:dyDescent="0.25">
      <c r="A278" s="192" t="s">
        <v>421</v>
      </c>
      <c r="B278" s="190"/>
      <c r="C278" s="75" t="s">
        <v>436</v>
      </c>
      <c r="D278" s="78">
        <v>42096</v>
      </c>
      <c r="E278" s="78">
        <f>E274/12*1000</f>
        <v>24445.416666666672</v>
      </c>
      <c r="F278" s="107">
        <f>F274/12*1000</f>
        <v>43224.904999999999</v>
      </c>
      <c r="G278" s="107">
        <f>G274/12/G266*1000</f>
        <v>46694.28</v>
      </c>
      <c r="H278" s="207">
        <f>G278/F278</f>
        <v>1.0802633342976693</v>
      </c>
      <c r="I278" s="208"/>
      <c r="J278" s="209">
        <f t="shared" si="74"/>
        <v>1.1092331812998859</v>
      </c>
      <c r="K278" s="210"/>
    </row>
    <row r="279" spans="1:11" ht="15.75" x14ac:dyDescent="0.25">
      <c r="A279" s="192" t="s">
        <v>423</v>
      </c>
      <c r="B279" s="190"/>
      <c r="C279" s="75" t="s">
        <v>437</v>
      </c>
      <c r="D279" s="108">
        <v>19035</v>
      </c>
      <c r="E279" s="108">
        <f t="shared" ref="E279:E280" si="76">E275/12*1000/E267</f>
        <v>24205.555555555555</v>
      </c>
      <c r="F279" s="78">
        <f>F275/12*1000/F267</f>
        <v>19377.04465729167</v>
      </c>
      <c r="G279" s="78">
        <f>G275/12/G267*1000</f>
        <v>29022.508235294114</v>
      </c>
      <c r="H279" s="207">
        <f t="shared" si="73"/>
        <v>1.497777847375338</v>
      </c>
      <c r="I279" s="208"/>
      <c r="J279" s="209">
        <f t="shared" si="74"/>
        <v>1.5246917906642561</v>
      </c>
      <c r="K279" s="210"/>
    </row>
    <row r="280" spans="1:11" ht="15.75" x14ac:dyDescent="0.25">
      <c r="A280" s="192" t="s">
        <v>425</v>
      </c>
      <c r="B280" s="190"/>
      <c r="C280" s="75" t="s">
        <v>438</v>
      </c>
      <c r="D280" s="67">
        <v>13327</v>
      </c>
      <c r="E280" s="67">
        <f t="shared" si="76"/>
        <v>15633.228840125392</v>
      </c>
      <c r="F280" s="78">
        <f>(F276/12/F268)*1000</f>
        <v>9471.0224271747484</v>
      </c>
      <c r="G280" s="78">
        <f>(G276/12/G268)*1000</f>
        <v>20563.328594704682</v>
      </c>
      <c r="H280" s="207">
        <f t="shared" si="73"/>
        <v>2.1711836027019968</v>
      </c>
      <c r="I280" s="208"/>
      <c r="J280" s="209">
        <f t="shared" si="74"/>
        <v>1.5429825613194779</v>
      </c>
      <c r="K280" s="210"/>
    </row>
    <row r="281" spans="1:11" ht="33.75" customHeight="1" x14ac:dyDescent="0.25">
      <c r="A281" s="189" t="s">
        <v>439</v>
      </c>
      <c r="B281" s="224"/>
      <c r="C281" s="75"/>
      <c r="D281" s="76">
        <f>(D269/D265/12)*1000</f>
        <v>11383.330727969349</v>
      </c>
      <c r="E281" s="76">
        <f t="shared" ref="E281:F281" si="77">(E269/E265/12)*1000</f>
        <v>13436.904761904761</v>
      </c>
      <c r="F281" s="76">
        <f t="shared" si="77"/>
        <v>8380.0799356223179</v>
      </c>
      <c r="G281" s="76">
        <f>(G269/G265/12)*1000</f>
        <v>17344.096958174905</v>
      </c>
      <c r="H281" s="230">
        <f>G281/F281</f>
        <v>2.0696815652614542</v>
      </c>
      <c r="I281" s="231"/>
      <c r="J281" s="230">
        <f>G281/D281</f>
        <v>1.5236399058106682</v>
      </c>
      <c r="K281" s="231"/>
    </row>
    <row r="282" spans="1:11" ht="15.75" x14ac:dyDescent="0.25">
      <c r="A282" s="192" t="s">
        <v>421</v>
      </c>
      <c r="B282" s="190"/>
      <c r="C282" s="75"/>
      <c r="D282" s="78">
        <v>34505</v>
      </c>
      <c r="E282" s="78">
        <v>20037.27</v>
      </c>
      <c r="F282" s="78">
        <f>F270/12/F266*1000</f>
        <v>35430.25</v>
      </c>
      <c r="G282" s="78">
        <f>G270/12/G266*1000</f>
        <v>38274</v>
      </c>
      <c r="H282" s="228">
        <f>G282/F282</f>
        <v>1.0802633342976693</v>
      </c>
      <c r="I282" s="229"/>
      <c r="J282" s="228">
        <f>G282/D282</f>
        <v>1.109230546297638</v>
      </c>
      <c r="K282" s="229"/>
    </row>
    <row r="283" spans="1:11" ht="15.75" x14ac:dyDescent="0.25">
      <c r="A283" s="192" t="s">
        <v>423</v>
      </c>
      <c r="B283" s="190"/>
      <c r="C283" s="75"/>
      <c r="D283" s="108">
        <v>15639</v>
      </c>
      <c r="E283" s="108">
        <v>19840.29</v>
      </c>
      <c r="F283" s="108">
        <f>F271/12/F267*1000</f>
        <v>15882.823489583336</v>
      </c>
      <c r="G283" s="108">
        <f>G271/12/G267*1000</f>
        <v>23788.941176470587</v>
      </c>
      <c r="H283" s="228">
        <f>G283/F283</f>
        <v>1.4977778473753383</v>
      </c>
      <c r="I283" s="229"/>
      <c r="J283" s="228">
        <f>G283/D283</f>
        <v>1.5211293034382369</v>
      </c>
      <c r="K283" s="229"/>
    </row>
    <row r="284" spans="1:11" ht="15.75" x14ac:dyDescent="0.25">
      <c r="A284" s="192" t="s">
        <v>425</v>
      </c>
      <c r="B284" s="190"/>
      <c r="C284" s="75"/>
      <c r="D284" s="67">
        <v>10851</v>
      </c>
      <c r="E284" s="67">
        <v>12814.13</v>
      </c>
      <c r="F284" s="67">
        <f>(F272/12/F268)*1000</f>
        <v>7763.1331370284825</v>
      </c>
      <c r="G284" s="67">
        <f>G272/12/G268*1000</f>
        <v>16855.187372708755</v>
      </c>
      <c r="H284" s="228">
        <f>G284/F284</f>
        <v>2.1711836027019968</v>
      </c>
      <c r="I284" s="229"/>
      <c r="J284" s="228">
        <f>G284/D284</f>
        <v>1.553330326486845</v>
      </c>
      <c r="K284" s="229"/>
    </row>
    <row r="285" spans="1:11" ht="15.75" x14ac:dyDescent="0.25">
      <c r="A285" s="189" t="s">
        <v>440</v>
      </c>
      <c r="B285" s="224"/>
      <c r="C285" s="74">
        <v>73</v>
      </c>
      <c r="D285" s="77">
        <f>SUM(D286:D288)</f>
        <v>0</v>
      </c>
      <c r="E285" s="76">
        <f>SUM(E286:E288)</f>
        <v>0</v>
      </c>
      <c r="F285" s="69">
        <f>SUM(F286:F288)</f>
        <v>0</v>
      </c>
      <c r="G285" s="77">
        <f>SUM(G286:G288)</f>
        <v>0</v>
      </c>
      <c r="H285" s="222">
        <f>SUM(H286:H288)</f>
        <v>0</v>
      </c>
      <c r="I285" s="227"/>
      <c r="J285" s="222">
        <f>SUM(J286:J288)</f>
        <v>0</v>
      </c>
      <c r="K285" s="227"/>
    </row>
    <row r="286" spans="1:11" ht="15.75" x14ac:dyDescent="0.25">
      <c r="A286" s="192" t="s">
        <v>421</v>
      </c>
      <c r="B286" s="190"/>
      <c r="C286" s="75" t="s">
        <v>441</v>
      </c>
      <c r="D286" s="80">
        <v>0</v>
      </c>
      <c r="E286" s="78">
        <v>0</v>
      </c>
      <c r="F286" s="79">
        <v>0</v>
      </c>
      <c r="G286" s="80">
        <v>0</v>
      </c>
      <c r="H286" s="222">
        <f>SUM(H287:H288)</f>
        <v>0</v>
      </c>
      <c r="I286" s="227"/>
      <c r="J286" s="222">
        <f>SUM(J287:J288)</f>
        <v>0</v>
      </c>
      <c r="K286" s="227"/>
    </row>
    <row r="287" spans="1:11" ht="15.75" x14ac:dyDescent="0.25">
      <c r="A287" s="192" t="s">
        <v>423</v>
      </c>
      <c r="B287" s="190"/>
      <c r="C287" s="75" t="s">
        <v>442</v>
      </c>
      <c r="D287" s="80">
        <v>0</v>
      </c>
      <c r="E287" s="78">
        <v>0</v>
      </c>
      <c r="F287" s="79">
        <v>0</v>
      </c>
      <c r="G287" s="80">
        <v>0</v>
      </c>
      <c r="H287" s="222">
        <f>SUM(H288:H288)</f>
        <v>0</v>
      </c>
      <c r="I287" s="227"/>
      <c r="J287" s="222">
        <f>SUM(J288:J288)</f>
        <v>0</v>
      </c>
      <c r="K287" s="227"/>
    </row>
    <row r="288" spans="1:11" ht="15.75" x14ac:dyDescent="0.25">
      <c r="A288" s="192" t="s">
        <v>425</v>
      </c>
      <c r="B288" s="190"/>
      <c r="C288" s="75" t="s">
        <v>443</v>
      </c>
      <c r="D288" s="80">
        <v>0</v>
      </c>
      <c r="E288" s="78">
        <v>0</v>
      </c>
      <c r="F288" s="79">
        <v>0</v>
      </c>
      <c r="G288" s="80">
        <v>0</v>
      </c>
      <c r="H288" s="222">
        <f>SUM(H289:H289)</f>
        <v>0</v>
      </c>
      <c r="I288" s="227"/>
      <c r="J288" s="222">
        <f>SUM(J289:J289)</f>
        <v>0</v>
      </c>
      <c r="K288" s="227"/>
    </row>
    <row r="289" spans="1:11" ht="15.75" x14ac:dyDescent="0.25">
      <c r="A289" s="81"/>
      <c r="B289" s="81"/>
      <c r="C289" s="82"/>
      <c r="D289" s="83"/>
      <c r="E289" s="109"/>
      <c r="G289" s="83"/>
      <c r="H289" s="84"/>
      <c r="I289" s="84"/>
      <c r="J289" s="84"/>
      <c r="K289" s="84"/>
    </row>
    <row r="290" spans="1:11" s="5" customFormat="1" ht="13.5" customHeight="1" x14ac:dyDescent="0.3">
      <c r="A290" s="85" t="s">
        <v>444</v>
      </c>
      <c r="C290" s="86" t="s">
        <v>445</v>
      </c>
      <c r="D290" s="3"/>
      <c r="E290" s="87"/>
      <c r="F290" s="225" t="s">
        <v>446</v>
      </c>
      <c r="G290" s="226"/>
      <c r="H290" s="226"/>
      <c r="I290" s="226"/>
      <c r="J290" s="226"/>
      <c r="K290" s="226"/>
    </row>
    <row r="291" spans="1:11" s="5" customFormat="1" ht="15.75" x14ac:dyDescent="0.25">
      <c r="A291" s="88" t="s">
        <v>447</v>
      </c>
      <c r="C291" s="86" t="s">
        <v>448</v>
      </c>
      <c r="D291" s="3"/>
      <c r="E291" s="87"/>
      <c r="F291" s="89"/>
      <c r="G291" s="90"/>
      <c r="H291" s="91"/>
      <c r="I291" s="91"/>
      <c r="J291" s="91"/>
      <c r="K291" s="91"/>
    </row>
    <row r="292" spans="1:11" s="5" customFormat="1" ht="7.5" customHeight="1" x14ac:dyDescent="0.3">
      <c r="A292" s="88"/>
      <c r="C292" s="86"/>
      <c r="D292" s="3"/>
      <c r="E292" s="87"/>
      <c r="F292" s="92"/>
      <c r="G292" s="90"/>
      <c r="H292" s="91"/>
      <c r="I292" s="91"/>
      <c r="J292" s="91"/>
      <c r="K292" s="91"/>
    </row>
    <row r="293" spans="1:11" s="93" customFormat="1" ht="15.75" customHeight="1" x14ac:dyDescent="0.3">
      <c r="A293" s="85" t="s">
        <v>449</v>
      </c>
      <c r="B293" s="5"/>
      <c r="C293" s="86" t="s">
        <v>445</v>
      </c>
      <c r="D293" s="3"/>
      <c r="E293" s="87"/>
      <c r="F293" s="225" t="s">
        <v>450</v>
      </c>
      <c r="G293" s="226"/>
      <c r="H293" s="226"/>
      <c r="I293" s="226"/>
      <c r="J293" s="226"/>
      <c r="K293" s="226"/>
    </row>
    <row r="294" spans="1:11" ht="15.75" x14ac:dyDescent="0.25">
      <c r="A294" s="88" t="s">
        <v>447</v>
      </c>
      <c r="B294" s="5"/>
      <c r="C294" s="86" t="s">
        <v>448</v>
      </c>
      <c r="D294" s="3"/>
      <c r="E294" s="87"/>
      <c r="F294" s="89"/>
      <c r="G294" s="90"/>
      <c r="H294" s="91"/>
      <c r="I294" s="91"/>
      <c r="J294" s="91"/>
      <c r="K294" s="91"/>
    </row>
    <row r="295" spans="1:11" x14ac:dyDescent="0.25">
      <c r="F295" s="89"/>
    </row>
  </sheetData>
  <mergeCells count="379">
    <mergeCell ref="A282:B282"/>
    <mergeCell ref="H282:I282"/>
    <mergeCell ref="J282:K282"/>
    <mergeCell ref="A283:B283"/>
    <mergeCell ref="H283:I283"/>
    <mergeCell ref="J283:K283"/>
    <mergeCell ref="A280:B280"/>
    <mergeCell ref="H280:I280"/>
    <mergeCell ref="J280:K280"/>
    <mergeCell ref="A281:B281"/>
    <mergeCell ref="H281:I281"/>
    <mergeCell ref="J281:K281"/>
    <mergeCell ref="F290:K290"/>
    <mergeCell ref="F293:K293"/>
    <mergeCell ref="A286:B286"/>
    <mergeCell ref="H286:I286"/>
    <mergeCell ref="J286:K286"/>
    <mergeCell ref="A287:B287"/>
    <mergeCell ref="H287:I287"/>
    <mergeCell ref="J287:K287"/>
    <mergeCell ref="A284:B284"/>
    <mergeCell ref="H284:I284"/>
    <mergeCell ref="J284:K284"/>
    <mergeCell ref="A285:B285"/>
    <mergeCell ref="H285:I285"/>
    <mergeCell ref="J285:K285"/>
    <mergeCell ref="A288:B288"/>
    <mergeCell ref="H288:I288"/>
    <mergeCell ref="J288:K288"/>
    <mergeCell ref="H278:I278"/>
    <mergeCell ref="J278:K278"/>
    <mergeCell ref="A279:B279"/>
    <mergeCell ref="H279:I279"/>
    <mergeCell ref="J279:K279"/>
    <mergeCell ref="A276:B276"/>
    <mergeCell ref="H276:I276"/>
    <mergeCell ref="J276:K276"/>
    <mergeCell ref="A277:B277"/>
    <mergeCell ref="H277:I277"/>
    <mergeCell ref="J277:K277"/>
    <mergeCell ref="A278:B278"/>
    <mergeCell ref="A274:B274"/>
    <mergeCell ref="H274:I274"/>
    <mergeCell ref="J274:K274"/>
    <mergeCell ref="A275:B275"/>
    <mergeCell ref="H275:I275"/>
    <mergeCell ref="J275:K275"/>
    <mergeCell ref="A272:B272"/>
    <mergeCell ref="H272:I272"/>
    <mergeCell ref="J272:K272"/>
    <mergeCell ref="A273:B273"/>
    <mergeCell ref="H273:I273"/>
    <mergeCell ref="J273:K273"/>
    <mergeCell ref="A270:B270"/>
    <mergeCell ref="H270:I270"/>
    <mergeCell ref="J270:K270"/>
    <mergeCell ref="A271:B271"/>
    <mergeCell ref="H271:I271"/>
    <mergeCell ref="J271:K271"/>
    <mergeCell ref="A268:B268"/>
    <mergeCell ref="H268:I268"/>
    <mergeCell ref="J268:K268"/>
    <mergeCell ref="A269:B269"/>
    <mergeCell ref="H269:I269"/>
    <mergeCell ref="J269:K269"/>
    <mergeCell ref="A266:B266"/>
    <mergeCell ref="H266:I266"/>
    <mergeCell ref="J266:K266"/>
    <mergeCell ref="A267:B267"/>
    <mergeCell ref="H267:I267"/>
    <mergeCell ref="J267:K267"/>
    <mergeCell ref="A264:B264"/>
    <mergeCell ref="H264:I264"/>
    <mergeCell ref="J264:K264"/>
    <mergeCell ref="A265:B265"/>
    <mergeCell ref="H265:I265"/>
    <mergeCell ref="J265:K265"/>
    <mergeCell ref="A258:K258"/>
    <mergeCell ref="A259:B259"/>
    <mergeCell ref="A260:B260"/>
    <mergeCell ref="A261:B261"/>
    <mergeCell ref="A262:B262"/>
    <mergeCell ref="A263:K263"/>
    <mergeCell ref="A252:B252"/>
    <mergeCell ref="A253:B253"/>
    <mergeCell ref="A254:B254"/>
    <mergeCell ref="A255:B255"/>
    <mergeCell ref="A256:B256"/>
    <mergeCell ref="A257:B257"/>
    <mergeCell ref="A246:B246"/>
    <mergeCell ref="A247:B247"/>
    <mergeCell ref="A248:B248"/>
    <mergeCell ref="A249:B249"/>
    <mergeCell ref="A250:B250"/>
    <mergeCell ref="A251:B251"/>
    <mergeCell ref="A240:B240"/>
    <mergeCell ref="A241:B241"/>
    <mergeCell ref="A242:B242"/>
    <mergeCell ref="A243:B243"/>
    <mergeCell ref="A244:B244"/>
    <mergeCell ref="A245:B245"/>
    <mergeCell ref="A234:B234"/>
    <mergeCell ref="A235:B235"/>
    <mergeCell ref="A236:B236"/>
    <mergeCell ref="A237:B237"/>
    <mergeCell ref="A238:B238"/>
    <mergeCell ref="A239:K239"/>
    <mergeCell ref="A228:B228"/>
    <mergeCell ref="A229:B229"/>
    <mergeCell ref="A230:B230"/>
    <mergeCell ref="A231:B231"/>
    <mergeCell ref="A232:B232"/>
    <mergeCell ref="A233:B233"/>
    <mergeCell ref="A222:B222"/>
    <mergeCell ref="A223:B223"/>
    <mergeCell ref="A224:K224"/>
    <mergeCell ref="A225:B225"/>
    <mergeCell ref="A226:B226"/>
    <mergeCell ref="A227:B227"/>
    <mergeCell ref="A216:B216"/>
    <mergeCell ref="A217:B217"/>
    <mergeCell ref="A218:B218"/>
    <mergeCell ref="A219:B219"/>
    <mergeCell ref="A220:B220"/>
    <mergeCell ref="A221:B221"/>
    <mergeCell ref="A210:K210"/>
    <mergeCell ref="A211:B211"/>
    <mergeCell ref="A212:B212"/>
    <mergeCell ref="A213:B213"/>
    <mergeCell ref="A214:B214"/>
    <mergeCell ref="A215:B215"/>
    <mergeCell ref="A204:B204"/>
    <mergeCell ref="A205:B205"/>
    <mergeCell ref="A206:B206"/>
    <mergeCell ref="A207:B207"/>
    <mergeCell ref="A208:B208"/>
    <mergeCell ref="A209:B209"/>
    <mergeCell ref="A198:B198"/>
    <mergeCell ref="A199:B199"/>
    <mergeCell ref="A200:B200"/>
    <mergeCell ref="A201:K201"/>
    <mergeCell ref="A202:B202"/>
    <mergeCell ref="A203:B203"/>
    <mergeCell ref="A192:B192"/>
    <mergeCell ref="A193:B193"/>
    <mergeCell ref="A194:B194"/>
    <mergeCell ref="A195:B195"/>
    <mergeCell ref="A196:B196"/>
    <mergeCell ref="A197:B197"/>
    <mergeCell ref="A186:B186"/>
    <mergeCell ref="A187:K187"/>
    <mergeCell ref="A188:B188"/>
    <mergeCell ref="A189:B189"/>
    <mergeCell ref="A190:B190"/>
    <mergeCell ref="A191:B191"/>
    <mergeCell ref="A180:B180"/>
    <mergeCell ref="A181:B181"/>
    <mergeCell ref="A182:B182"/>
    <mergeCell ref="A183:B183"/>
    <mergeCell ref="A184:B184"/>
    <mergeCell ref="A185:B185"/>
    <mergeCell ref="A172:B172"/>
    <mergeCell ref="A175:B175"/>
    <mergeCell ref="A176:B176"/>
    <mergeCell ref="A177:B177"/>
    <mergeCell ref="A178:B178"/>
    <mergeCell ref="A179:B179"/>
    <mergeCell ref="A166:B166"/>
    <mergeCell ref="A167:B167"/>
    <mergeCell ref="A168:B168"/>
    <mergeCell ref="A169:B169"/>
    <mergeCell ref="A170:B170"/>
    <mergeCell ref="A171:B171"/>
    <mergeCell ref="A173:B173"/>
    <mergeCell ref="A174:B174"/>
    <mergeCell ref="A160:B160"/>
    <mergeCell ref="A161:B161"/>
    <mergeCell ref="A162:K162"/>
    <mergeCell ref="A163:B163"/>
    <mergeCell ref="A164:B164"/>
    <mergeCell ref="A165:B165"/>
    <mergeCell ref="A154:B154"/>
    <mergeCell ref="A155:B155"/>
    <mergeCell ref="A156:B156"/>
    <mergeCell ref="A157:B157"/>
    <mergeCell ref="A158:B158"/>
    <mergeCell ref="A159:B159"/>
    <mergeCell ref="A148:B148"/>
    <mergeCell ref="A149:B149"/>
    <mergeCell ref="A150:B150"/>
    <mergeCell ref="A151:B151"/>
    <mergeCell ref="A152:K152"/>
    <mergeCell ref="A153:B153"/>
    <mergeCell ref="A142:B142"/>
    <mergeCell ref="A143:B143"/>
    <mergeCell ref="A144:B144"/>
    <mergeCell ref="A145:B145"/>
    <mergeCell ref="A146:B146"/>
    <mergeCell ref="A147:B147"/>
    <mergeCell ref="A136:B136"/>
    <mergeCell ref="A137:B137"/>
    <mergeCell ref="A138:B138"/>
    <mergeCell ref="A139:B139"/>
    <mergeCell ref="A140:B140"/>
    <mergeCell ref="A141:B141"/>
    <mergeCell ref="A130:B130"/>
    <mergeCell ref="A131:B131"/>
    <mergeCell ref="A132:B132"/>
    <mergeCell ref="A133:B133"/>
    <mergeCell ref="A134:B134"/>
    <mergeCell ref="A135:B135"/>
    <mergeCell ref="A124:B124"/>
    <mergeCell ref="A125:B125"/>
    <mergeCell ref="A126:B126"/>
    <mergeCell ref="A127:B127"/>
    <mergeCell ref="A128:B128"/>
    <mergeCell ref="A129:B129"/>
    <mergeCell ref="A118:B118"/>
    <mergeCell ref="A119:B119"/>
    <mergeCell ref="A120:B120"/>
    <mergeCell ref="A121:B121"/>
    <mergeCell ref="A122:B122"/>
    <mergeCell ref="A123:B123"/>
    <mergeCell ref="A115:B115"/>
    <mergeCell ref="A116:B116"/>
    <mergeCell ref="A117:B117"/>
    <mergeCell ref="A110:B110"/>
    <mergeCell ref="A111:B111"/>
    <mergeCell ref="A112:B112"/>
    <mergeCell ref="A113:B113"/>
    <mergeCell ref="A114:B114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H55:K55"/>
    <mergeCell ref="A57:K57"/>
    <mergeCell ref="A58:B58"/>
    <mergeCell ref="A59:B59"/>
    <mergeCell ref="A60:B60"/>
    <mergeCell ref="A61:B61"/>
    <mergeCell ref="J50:K50"/>
    <mergeCell ref="A51:K51"/>
    <mergeCell ref="A52:K52"/>
    <mergeCell ref="A53:K53"/>
    <mergeCell ref="A55:B56"/>
    <mergeCell ref="C55:C56"/>
    <mergeCell ref="D55:D56"/>
    <mergeCell ref="E55:E56"/>
    <mergeCell ref="F55:F56"/>
    <mergeCell ref="G55:G56"/>
    <mergeCell ref="B45:E45"/>
    <mergeCell ref="G45:K45"/>
    <mergeCell ref="B46:E46"/>
    <mergeCell ref="B47:E47"/>
    <mergeCell ref="B48:E48"/>
    <mergeCell ref="B49:E49"/>
    <mergeCell ref="B42:E42"/>
    <mergeCell ref="G42:K42"/>
    <mergeCell ref="B43:E43"/>
    <mergeCell ref="G43:K43"/>
    <mergeCell ref="B44:E44"/>
    <mergeCell ref="G44:K44"/>
    <mergeCell ref="B39:E39"/>
    <mergeCell ref="G39:K39"/>
    <mergeCell ref="B40:E40"/>
    <mergeCell ref="G40:K40"/>
    <mergeCell ref="B41:E41"/>
    <mergeCell ref="G41:K41"/>
    <mergeCell ref="B36:E36"/>
    <mergeCell ref="G36:K36"/>
    <mergeCell ref="B37:E37"/>
    <mergeCell ref="G37:K37"/>
    <mergeCell ref="B38:E38"/>
    <mergeCell ref="G38:K38"/>
    <mergeCell ref="B33:E33"/>
    <mergeCell ref="G33:K33"/>
    <mergeCell ref="B34:E34"/>
    <mergeCell ref="G34:K34"/>
    <mergeCell ref="B35:E35"/>
    <mergeCell ref="G35:K35"/>
    <mergeCell ref="B29:E29"/>
    <mergeCell ref="G29:K29"/>
    <mergeCell ref="B30:E30"/>
    <mergeCell ref="G30:K30"/>
    <mergeCell ref="B32:E32"/>
    <mergeCell ref="G32:K32"/>
    <mergeCell ref="B31:E31"/>
    <mergeCell ref="G31:K31"/>
    <mergeCell ref="B26:E26"/>
    <mergeCell ref="G26:K26"/>
    <mergeCell ref="B27:E27"/>
    <mergeCell ref="G27:K27"/>
    <mergeCell ref="B28:E28"/>
    <mergeCell ref="G28:K28"/>
    <mergeCell ref="B23:E23"/>
    <mergeCell ref="G23:K23"/>
    <mergeCell ref="B24:E24"/>
    <mergeCell ref="G24:K24"/>
    <mergeCell ref="B25:E25"/>
    <mergeCell ref="G25:K25"/>
    <mergeCell ref="B21:E21"/>
    <mergeCell ref="G21:K21"/>
    <mergeCell ref="B22:E22"/>
    <mergeCell ref="G22:K22"/>
    <mergeCell ref="B17:E17"/>
    <mergeCell ref="G17:K17"/>
    <mergeCell ref="B18:E18"/>
    <mergeCell ref="G18:K18"/>
    <mergeCell ref="B19:E19"/>
    <mergeCell ref="G19:K19"/>
    <mergeCell ref="B16:E16"/>
    <mergeCell ref="G16:K16"/>
    <mergeCell ref="F7:K7"/>
    <mergeCell ref="F8:K8"/>
    <mergeCell ref="B10:E10"/>
    <mergeCell ref="G10:K10"/>
    <mergeCell ref="B11:E11"/>
    <mergeCell ref="G11:K11"/>
    <mergeCell ref="B20:E20"/>
    <mergeCell ref="G20:K20"/>
    <mergeCell ref="B14:E14"/>
    <mergeCell ref="G14:K14"/>
    <mergeCell ref="B15:E15"/>
    <mergeCell ref="G15:K15"/>
    <mergeCell ref="F1:K1"/>
    <mergeCell ref="F2:K2"/>
    <mergeCell ref="F3:K3"/>
    <mergeCell ref="B4:E4"/>
    <mergeCell ref="F4:K4"/>
    <mergeCell ref="F6:I6"/>
    <mergeCell ref="B12:E12"/>
    <mergeCell ref="G12:K12"/>
    <mergeCell ref="B13:E13"/>
    <mergeCell ref="G13:K13"/>
  </mergeCells>
  <pageMargins left="0.7" right="0.7" top="0.75" bottom="0.75" header="0.3" footer="0.3"/>
  <pageSetup paperSize="9" scale="8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2024-09-23T06:23:01Z</dcterms:modified>
</cp:coreProperties>
</file>